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5521" windowWidth="19590" windowHeight="13125" tabRatio="955" activeTab="0"/>
  </bookViews>
  <sheets>
    <sheet name="2011-08-07" sheetId="1" r:id="rId1"/>
    <sheet name="2010-09-17" sheetId="2" r:id="rId2"/>
    <sheet name="Detail 2010-09-17" sheetId="3" r:id="rId3"/>
    <sheet name="2010-05-25" sheetId="4" r:id="rId4"/>
    <sheet name="Detail 2010-05-25" sheetId="5" r:id="rId5"/>
    <sheet name="2010-04-08" sheetId="6" r:id="rId6"/>
    <sheet name="Detail 2010-04-08" sheetId="7" r:id="rId7"/>
    <sheet name="2009-12-25" sheetId="8" r:id="rId8"/>
    <sheet name="Detail 2009-12-25" sheetId="9" r:id="rId9"/>
    <sheet name="2009-09-11" sheetId="10" r:id="rId10"/>
    <sheet name="Detail 2009-09-11" sheetId="11" r:id="rId11"/>
    <sheet name="2009-04-03" sheetId="12" r:id="rId12"/>
    <sheet name="Detail 2009-04-03" sheetId="13" r:id="rId13"/>
    <sheet name="2008-01-12" sheetId="14" r:id="rId14"/>
    <sheet name="Detail 2009-01-12" sheetId="15" r:id="rId15"/>
    <sheet name="2008-08-18" sheetId="16" r:id="rId16"/>
    <sheet name="Detail 2008-08-18" sheetId="17" r:id="rId17"/>
    <sheet name="2008-08-12" sheetId="18" r:id="rId18"/>
    <sheet name="Detail 2008-08-12" sheetId="19" r:id="rId19"/>
    <sheet name="2008-07-08" sheetId="20" r:id="rId20"/>
    <sheet name="2008-05-05" sheetId="21" r:id="rId21"/>
    <sheet name="2008-03-12" sheetId="22" r:id="rId22"/>
    <sheet name="2008-02-14" sheetId="23" r:id="rId23"/>
    <sheet name="2008-02-01" sheetId="24" r:id="rId24"/>
    <sheet name="2007-07-01" sheetId="25" r:id="rId25"/>
    <sheet name="2007-06-01" sheetId="26" r:id="rId26"/>
    <sheet name="2007-05-01" sheetId="27" r:id="rId27"/>
    <sheet name="2007-04-25" sheetId="28" r:id="rId28"/>
    <sheet name="2006-8-29" sheetId="29" r:id="rId29"/>
    <sheet name="Detail 2008-07-08" sheetId="30" r:id="rId30"/>
    <sheet name="Detail 2008-03-12" sheetId="31" r:id="rId31"/>
    <sheet name="Detail 2008-02-14 LR" sheetId="32" r:id="rId32"/>
    <sheet name="Detail 2008-02-14 SR" sheetId="33" r:id="rId33"/>
    <sheet name="Detail 2008-01-28 LR" sheetId="34" r:id="rId34"/>
    <sheet name="Detail 2008-01-28 SR" sheetId="35" r:id="rId35"/>
    <sheet name="Detail" sheetId="36" r:id="rId36"/>
    <sheet name="Notes" sheetId="37" r:id="rId37"/>
    <sheet name="DFB_2007_05_22" sheetId="38" r:id="rId38"/>
    <sheet name="DCB_2008_08_18" sheetId="39" r:id="rId39"/>
    <sheet name="DCB_2008_02_12" sheetId="40" r:id="rId40"/>
    <sheet name="DFB_Typ_2008_07_07" sheetId="41" r:id="rId41"/>
    <sheet name="DFB_Max_2008_07_07" sheetId="42" r:id="rId42"/>
  </sheets>
  <definedNames>
    <definedName name="_xlnm.Print_Titles" localSheetId="35">'Detail'!$A:$A</definedName>
    <definedName name="_xlnm.Print_Titles" localSheetId="33">'Detail 2008-01-28 LR'!$A:$A</definedName>
    <definedName name="_xlnm.Print_Titles" localSheetId="34">'Detail 2008-01-28 SR'!$A:$A</definedName>
    <definedName name="_xlnm.Print_Titles" localSheetId="31">'Detail 2008-02-14 LR'!$A:$A</definedName>
    <definedName name="_xlnm.Print_Titles" localSheetId="32">'Detail 2008-02-14 SR'!$A:$A</definedName>
    <definedName name="_xlnm.Print_Titles" localSheetId="30">'Detail 2008-03-12'!$A:$A</definedName>
    <definedName name="_xlnm.Print_Titles" localSheetId="29">'Detail 2008-07-08'!$A:$A</definedName>
    <definedName name="_xlnm.Print_Titles" localSheetId="18">'Detail 2008-08-12'!$A:$A</definedName>
    <definedName name="_xlnm.Print_Titles" localSheetId="16">'Detail 2008-08-18'!$A:$A</definedName>
    <definedName name="_xlnm.Print_Titles" localSheetId="14">'Detail 2009-01-12'!$A:$A</definedName>
    <definedName name="_xlnm.Print_Titles" localSheetId="12">'Detail 2009-04-03'!$A:$A</definedName>
    <definedName name="_xlnm.Print_Titles" localSheetId="10">'Detail 2009-09-11'!$A:$A</definedName>
    <definedName name="_xlnm.Print_Titles" localSheetId="8">'Detail 2009-12-25'!$A:$A</definedName>
    <definedName name="_xlnm.Print_Titles" localSheetId="6">'Detail 2010-04-08'!$A:$A</definedName>
    <definedName name="_xlnm.Print_Titles" localSheetId="4">'Detail 2010-05-25'!$A:$A</definedName>
    <definedName name="_xlnm.Print_Titles" localSheetId="2">'Detail 2010-09-17'!$A:$A</definedName>
  </definedNames>
  <calcPr fullCalcOnLoad="1"/>
</workbook>
</file>

<file path=xl/comments11.xml><?xml version="1.0" encoding="utf-8"?>
<comments xmlns="http://schemas.openxmlformats.org/spreadsheetml/2006/main">
  <authors>
    <author>prh</author>
  </authors>
  <commentList>
    <comment ref="AB38" authorId="0">
      <text>
        <r>
          <rPr>
            <b/>
            <sz val="8"/>
            <rFont val="Tahoma"/>
            <family val="0"/>
          </rPr>
          <t>ETU Motor Test</t>
        </r>
        <r>
          <rPr>
            <sz val="8"/>
            <rFont val="Tahoma"/>
            <family val="0"/>
          </rPr>
          <t xml:space="preserve">
Average: 104 - 96mA at 28V
Peak: 1.1A at 34V </t>
        </r>
      </text>
    </comment>
    <comment ref="AC38"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13.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15.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17.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19.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xml><?xml version="1.0" encoding="utf-8"?>
<comments xmlns="http://schemas.openxmlformats.org/spreadsheetml/2006/main">
  <authors>
    <author>prh</author>
    <author>Michael Ludlam</author>
  </authors>
  <commentList>
    <comment ref="AB44" authorId="0">
      <text>
        <r>
          <rPr>
            <b/>
            <sz val="8"/>
            <rFont val="Tahoma"/>
            <family val="0"/>
          </rPr>
          <t>ETU Motor Test</t>
        </r>
        <r>
          <rPr>
            <sz val="8"/>
            <rFont val="Tahoma"/>
            <family val="0"/>
          </rPr>
          <t xml:space="preserve">
Average: 104 - 96mA at 28V
Peak: 1.1A at 34V </t>
        </r>
      </text>
    </comment>
    <comment ref="AC44"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E19" authorId="1">
      <text>
        <r>
          <rPr>
            <b/>
            <sz val="8"/>
            <rFont val="Tahoma"/>
            <family val="0"/>
          </rPr>
          <t>Michael Ludlam:</t>
        </r>
        <r>
          <rPr>
            <sz val="8"/>
            <rFont val="Tahoma"/>
            <family val="0"/>
          </rPr>
          <t xml:space="preserve">
Efficiency</t>
        </r>
      </text>
    </comment>
  </commentList>
</comments>
</file>

<file path=xl/comments30.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1.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2.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3.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AB39" authorId="0">
      <text>
        <r>
          <rPr>
            <b/>
            <sz val="8"/>
            <rFont val="Tahoma"/>
            <family val="0"/>
          </rPr>
          <t>ETU Motor Test</t>
        </r>
        <r>
          <rPr>
            <sz val="8"/>
            <rFont val="Tahoma"/>
            <family val="0"/>
          </rPr>
          <t xml:space="preserve">
Average: 104 - 96mA at 28V
Peak: 1.1A at 34V </t>
        </r>
      </text>
    </comment>
    <comment ref="AC39"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4.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5.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6.xml><?xml version="1.0" encoding="utf-8"?>
<comments xmlns="http://schemas.openxmlformats.org/spreadsheetml/2006/main">
  <authors>
    <author>prh</author>
  </authors>
  <commentList>
    <comment ref="AB7" authorId="0">
      <text>
        <r>
          <rPr>
            <b/>
            <sz val="8"/>
            <rFont val="Tahoma"/>
            <family val="0"/>
          </rPr>
          <t>ETU Motor Test</t>
        </r>
        <r>
          <rPr>
            <sz val="8"/>
            <rFont val="Tahoma"/>
            <family val="0"/>
          </rPr>
          <t xml:space="preserve">
Average: 104 - 96mA at 28V
Peak: 1.1A at 34V </t>
        </r>
      </text>
    </comment>
    <comment ref="AC7"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38.xml><?xml version="1.0" encoding="utf-8"?>
<comments xmlns="http://schemas.openxmlformats.org/spreadsheetml/2006/main">
  <authors>
    <author>Bob Ergun</author>
  </authors>
  <commentList>
    <comment ref="A11" authorId="0">
      <text>
        <r>
          <rPr>
            <b/>
            <sz val="8"/>
            <rFont val="Tahoma"/>
            <family val="0"/>
          </rPr>
          <t>Bob Ergun:</t>
        </r>
        <r>
          <rPr>
            <sz val="8"/>
            <rFont val="Tahoma"/>
            <family val="0"/>
          </rPr>
          <t xml:space="preserve">
One converter napping 3/4 of the time.</t>
        </r>
      </text>
    </comment>
  </commentList>
</comments>
</file>

<file path=xl/comments5.xml><?xml version="1.0" encoding="utf-8"?>
<comments xmlns="http://schemas.openxmlformats.org/spreadsheetml/2006/main">
  <authors>
    <author>prh</author>
    <author>Michael Ludlam</author>
  </authors>
  <commentList>
    <comment ref="AB44" authorId="0">
      <text>
        <r>
          <rPr>
            <b/>
            <sz val="8"/>
            <rFont val="Tahoma"/>
            <family val="0"/>
          </rPr>
          <t>ETU Motor Test</t>
        </r>
        <r>
          <rPr>
            <sz val="8"/>
            <rFont val="Tahoma"/>
            <family val="0"/>
          </rPr>
          <t xml:space="preserve">
Average: 104 - 96mA at 28V
Peak: 1.1A at 34V </t>
        </r>
      </text>
    </comment>
    <comment ref="AC44"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 ref="E19" authorId="1">
      <text>
        <r>
          <rPr>
            <b/>
            <sz val="8"/>
            <rFont val="Tahoma"/>
            <family val="0"/>
          </rPr>
          <t>Michael Ludlam:</t>
        </r>
        <r>
          <rPr>
            <sz val="8"/>
            <rFont val="Tahoma"/>
            <family val="0"/>
          </rPr>
          <t xml:space="preserve">
Efficiency</t>
        </r>
      </text>
    </comment>
  </commentList>
</comments>
</file>

<file path=xl/comments7.xml><?xml version="1.0" encoding="utf-8"?>
<comments xmlns="http://schemas.openxmlformats.org/spreadsheetml/2006/main">
  <authors>
    <author>prh</author>
  </authors>
  <commentList>
    <comment ref="AB38" authorId="0">
      <text>
        <r>
          <rPr>
            <b/>
            <sz val="8"/>
            <rFont val="Tahoma"/>
            <family val="0"/>
          </rPr>
          <t>ETU Motor Test</t>
        </r>
        <r>
          <rPr>
            <sz val="8"/>
            <rFont val="Tahoma"/>
            <family val="0"/>
          </rPr>
          <t xml:space="preserve">
Average: 104 - 96mA at 28V
Peak: 1.1A at 34V </t>
        </r>
      </text>
    </comment>
    <comment ref="AC38"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comments9.xml><?xml version="1.0" encoding="utf-8"?>
<comments xmlns="http://schemas.openxmlformats.org/spreadsheetml/2006/main">
  <authors>
    <author>prh</author>
  </authors>
  <commentList>
    <comment ref="AB38" authorId="0">
      <text>
        <r>
          <rPr>
            <b/>
            <sz val="8"/>
            <rFont val="Tahoma"/>
            <family val="0"/>
          </rPr>
          <t>ETU Motor Test</t>
        </r>
        <r>
          <rPr>
            <sz val="8"/>
            <rFont val="Tahoma"/>
            <family val="0"/>
          </rPr>
          <t xml:space="preserve">
Average: 104 - 96mA at 28V
Peak: 1.1A at 34V </t>
        </r>
      </text>
    </comment>
    <comment ref="AC38" authorId="0">
      <text>
        <r>
          <rPr>
            <b/>
            <sz val="8"/>
            <rFont val="Tahoma"/>
            <family val="0"/>
          </rPr>
          <t>SPB SMA actuators:</t>
        </r>
        <r>
          <rPr>
            <sz val="8"/>
            <rFont val="Tahoma"/>
            <family val="0"/>
          </rPr>
          <t xml:space="preserve">
SMA wire = 5 ohms, parallel combination = 2.5 ohms. Required drive current is 2A. Duration is 1 sec. Doors fired concurrently (4A).
</t>
        </r>
      </text>
    </comment>
  </commentList>
</comments>
</file>

<file path=xl/sharedStrings.xml><?xml version="1.0" encoding="utf-8"?>
<sst xmlns="http://schemas.openxmlformats.org/spreadsheetml/2006/main" count="3522" uniqueCount="397">
  <si>
    <t>Unit</t>
  </si>
  <si>
    <t>Contingency %</t>
  </si>
  <si>
    <t>Total</t>
  </si>
  <si>
    <t>RBSP EFI Resources</t>
  </si>
  <si>
    <t>POWER</t>
  </si>
  <si>
    <t>BEB</t>
  </si>
  <si>
    <t>DFB</t>
  </si>
  <si>
    <t>DCB/PCB</t>
  </si>
  <si>
    <t>LVPS</t>
  </si>
  <si>
    <t>Power
W</t>
  </si>
  <si>
    <t>Power with Contingency W</t>
  </si>
  <si>
    <t>efficient</t>
  </si>
  <si>
    <t>No mass memory</t>
  </si>
  <si>
    <t>THEMIS</t>
  </si>
  <si>
    <t>DFB Higher Data Rate</t>
  </si>
  <si>
    <t>RBSP EFW</t>
  </si>
  <si>
    <t>Monthly Report Formatted</t>
  </si>
  <si>
    <t>Operating
Power
CBE
(W)</t>
  </si>
  <si>
    <t>Operating
Power
w/ Margin
(W)</t>
  </si>
  <si>
    <t>Peak Current
(A)</t>
  </si>
  <si>
    <t>Survival
Power
w/ Margin
(W)</t>
  </si>
  <si>
    <t>Margin
%</t>
  </si>
  <si>
    <t>SPB (4)</t>
  </si>
  <si>
    <t>AXB (2)</t>
  </si>
  <si>
    <t>THEMIS + .32 Higher Data Rate</t>
  </si>
  <si>
    <t>Comment</t>
  </si>
  <si>
    <t>Packaging not yet determined</t>
  </si>
  <si>
    <t>Nominal efficiency</t>
  </si>
  <si>
    <t>THEMIS power, including preamps</t>
  </si>
  <si>
    <t>tbd</t>
  </si>
  <si>
    <t>IOWA IF</t>
  </si>
  <si>
    <t>IDPU 28V</t>
  </si>
  <si>
    <t>inc</t>
  </si>
  <si>
    <t xml:space="preserve">HF IF </t>
  </si>
  <si>
    <t>Ergun 5/23/07 Secondary detail</t>
  </si>
  <si>
    <t>Zero survival power assuming hard-mount to the spacecraft provides in-range temperatures.</t>
  </si>
  <si>
    <t>Instrument</t>
  </si>
  <si>
    <t>Contingency</t>
  </si>
  <si>
    <t>Power</t>
  </si>
  <si>
    <t>Calc by Voltage</t>
  </si>
  <si>
    <t>Voltages</t>
  </si>
  <si>
    <t>Heritage</t>
  </si>
  <si>
    <t>Level</t>
  </si>
  <si>
    <t>Allowance</t>
  </si>
  <si>
    <t>W</t>
  </si>
  <si>
    <t>Reserve</t>
  </si>
  <si>
    <t>Pwr</t>
  </si>
  <si>
    <t>+5V D</t>
  </si>
  <si>
    <t>+3.3D (1)</t>
  </si>
  <si>
    <t>+5V A</t>
  </si>
  <si>
    <t>-5V A</t>
  </si>
  <si>
    <t>+8V A</t>
  </si>
  <si>
    <t>-8V A</t>
  </si>
  <si>
    <t>+10V A</t>
  </si>
  <si>
    <t>-10V A</t>
  </si>
  <si>
    <t>+28V A</t>
  </si>
  <si>
    <t>+/-10F1</t>
  </si>
  <si>
    <t>+/-10F2</t>
  </si>
  <si>
    <t>+/-10F3</t>
  </si>
  <si>
    <t>+/-10F4</t>
  </si>
  <si>
    <t>+/-10F5</t>
  </si>
  <si>
    <t>+/-10F6</t>
  </si>
  <si>
    <t>+28V P</t>
  </si>
  <si>
    <t>+5V P</t>
  </si>
  <si>
    <t>Design</t>
  </si>
  <si>
    <t>Concept</t>
  </si>
  <si>
    <t>EFI</t>
  </si>
  <si>
    <t>Radial Unit 1</t>
  </si>
  <si>
    <t>Radial Unit 2</t>
  </si>
  <si>
    <t>Radial Unit 3</t>
  </si>
  <si>
    <t>Radial Unit 4</t>
  </si>
  <si>
    <t>Axial Unit 1</t>
  </si>
  <si>
    <t>Axial Unit 2</t>
  </si>
  <si>
    <t>DPU</t>
  </si>
  <si>
    <t>[4] DFB Fast Survey</t>
  </si>
  <si>
    <t>[5] BEB</t>
  </si>
  <si>
    <t>[2] PCB</t>
  </si>
  <si>
    <t>[3] DCB</t>
  </si>
  <si>
    <t>[1] LVPS</t>
  </si>
  <si>
    <t>Instrument TOTAL</t>
  </si>
  <si>
    <t>VOLTAGES</t>
  </si>
  <si>
    <t>CURRENT</t>
  </si>
  <si>
    <t>LV Supply Inefficiency</t>
  </si>
  <si>
    <t>RBSP EFW Instrument Power Budget</t>
  </si>
  <si>
    <t>Max is Door Opening (1 at a time)</t>
  </si>
  <si>
    <t xml:space="preserve">[3] SSR </t>
  </si>
  <si>
    <t>[4] AC Buffers</t>
  </si>
  <si>
    <t>n/a</t>
  </si>
  <si>
    <t>NTE</t>
  </si>
  <si>
    <t>+200V</t>
  </si>
  <si>
    <t>-200V</t>
  </si>
  <si>
    <t xml:space="preserve"> +2.0V D</t>
  </si>
  <si>
    <t>Table is linked to "Detail" page</t>
  </si>
  <si>
    <t>Calc'd 
Margin
%</t>
  </si>
  <si>
    <t>AC Buffers</t>
  </si>
  <si>
    <t>Ludlam 6/13/07 Memory Added</t>
  </si>
  <si>
    <t>EFW Main Power</t>
  </si>
  <si>
    <t>Instrument NTE Power / Minimum Voltage (22V)</t>
  </si>
  <si>
    <t>EFW Survival Heaters</t>
  </si>
  <si>
    <t>EFW SPB Deployment</t>
  </si>
  <si>
    <t>EFW AXB Deployment</t>
  </si>
  <si>
    <t>Description</t>
  </si>
  <si>
    <t>Ohms</t>
  </si>
  <si>
    <t>Bus Min Voltage</t>
  </si>
  <si>
    <t>Bus Max Voltage</t>
  </si>
  <si>
    <t>Volts</t>
  </si>
  <si>
    <t>Frangibolt Max Current</t>
  </si>
  <si>
    <t>Power Services:</t>
  </si>
  <si>
    <t>Max Avg 
(Watts)</t>
  </si>
  <si>
    <t>Motor Pair</t>
  </si>
  <si>
    <t>PinPuller (Door)</t>
  </si>
  <si>
    <t>Amps at max volt</t>
  </si>
  <si>
    <t>Max
(Amps)</t>
  </si>
  <si>
    <t>Heaters</t>
  </si>
  <si>
    <t>Instrument NTE Power/2, 35V/Resistance</t>
  </si>
  <si>
    <t>Pair Deployment as Average, Max is Door Open</t>
  </si>
  <si>
    <t>Single Deployment as Average, Max is Release</t>
  </si>
  <si>
    <t>[5] AC Buffers</t>
  </si>
  <si>
    <t>3.3V and 1.5V regulator efficiency (off 5VD)</t>
  </si>
  <si>
    <t xml:space="preserve"> +1.5V D</t>
  </si>
  <si>
    <t>Total +5VD Current</t>
  </si>
  <si>
    <t>(Includes 3.3V and 1.5V regulators)</t>
  </si>
  <si>
    <t>Ludlam 1/28/2008, 3.3V system</t>
  </si>
  <si>
    <t>Table is linked to "Detail 2008-01-28 LR" page</t>
  </si>
  <si>
    <t>Nominal efficiency, linear reg for 1.5V</t>
  </si>
  <si>
    <t>1.5V generated from 1.8V on the DCB and DFB using LDO linear regulators</t>
  </si>
  <si>
    <t>+250V</t>
  </si>
  <si>
    <t>-250V</t>
  </si>
  <si>
    <t>IDPU</t>
  </si>
  <si>
    <t>+10VA</t>
  </si>
  <si>
    <t>10VA</t>
  </si>
  <si>
    <t>-10VA</t>
  </si>
  <si>
    <t>Not To Exceed
(W)</t>
  </si>
  <si>
    <t>NTE based on July 2007 Operating Power CBE+Margin</t>
  </si>
  <si>
    <t>MAVEN POWER</t>
  </si>
  <si>
    <t>ITEM</t>
  </si>
  <si>
    <t>Operating</t>
  </si>
  <si>
    <t>|</t>
  </si>
  <si>
    <t>A+12V</t>
  </si>
  <si>
    <t>A-12V</t>
  </si>
  <si>
    <t>A+5V</t>
  </si>
  <si>
    <t>A-5V</t>
  </si>
  <si>
    <t>D+5V</t>
  </si>
  <si>
    <t>D+3.3V</t>
  </si>
  <si>
    <t>D+2V</t>
  </si>
  <si>
    <t>(Volt)</t>
  </si>
  <si>
    <t>(mA)</t>
  </si>
  <si>
    <t>(mW)</t>
  </si>
  <si>
    <t>ANALOG</t>
  </si>
  <si>
    <t>E Input Amplifiers (6)</t>
  </si>
  <si>
    <t xml:space="preserve">Op Amps (6) </t>
  </si>
  <si>
    <t>+/-12V</t>
  </si>
  <si>
    <t>Diff Amps (6)</t>
  </si>
  <si>
    <t>B Diff Input Amplifiers (3)</t>
  </si>
  <si>
    <t xml:space="preserve">Op Amps (3) </t>
  </si>
  <si>
    <t>LF Filters (5 Pole) x 15</t>
  </si>
  <si>
    <t>Op Amps (30)</t>
  </si>
  <si>
    <t>Catch Amps</t>
  </si>
  <si>
    <t>Op Amps (15)</t>
  </si>
  <si>
    <t>+/-5V</t>
  </si>
  <si>
    <t>Swtiches</t>
  </si>
  <si>
    <t>HI303 (15)</t>
  </si>
  <si>
    <t>A/D</t>
  </si>
  <si>
    <t>LT1604 (2)</t>
  </si>
  <si>
    <t>xx</t>
  </si>
  <si>
    <t>Sub Total ANALOG</t>
  </si>
  <si>
    <t>DIGITAL</t>
  </si>
  <si>
    <t>ACTEL</t>
  </si>
  <si>
    <t>+1.5R</t>
  </si>
  <si>
    <t>+3.3V</t>
  </si>
  <si>
    <t>RAM</t>
  </si>
  <si>
    <t>SDRAM</t>
  </si>
  <si>
    <t>Level Shift /Buffers</t>
  </si>
  <si>
    <t>AC Parts</t>
  </si>
  <si>
    <t>+5</t>
  </si>
  <si>
    <t>Sub Total Digital</t>
  </si>
  <si>
    <t>TOTALS:</t>
  </si>
  <si>
    <t>PF +12V</t>
  </si>
  <si>
    <t>PF -12V</t>
  </si>
  <si>
    <t>PF +5V</t>
  </si>
  <si>
    <t>PF -5V</t>
  </si>
  <si>
    <t>PF +3.3V</t>
  </si>
  <si>
    <t>PF +2V</t>
  </si>
  <si>
    <t>FPGA Frequency (MHz)</t>
  </si>
  <si>
    <t>Component</t>
  </si>
  <si>
    <t>Manufacturer</t>
  </si>
  <si>
    <t>Part No</t>
  </si>
  <si>
    <t>Quantity</t>
  </si>
  <si>
    <t>Link</t>
  </si>
  <si>
    <t>Supply (V)</t>
  </si>
  <si>
    <t>Peak Icc (mA)</t>
  </si>
  <si>
    <t>Avg Icc(mA)</t>
  </si>
  <si>
    <t>Standby Icc (mA)</t>
  </si>
  <si>
    <t>Peak Power (mW)</t>
  </si>
  <si>
    <t>Average Power (mW)</t>
  </si>
  <si>
    <t>Comments</t>
  </si>
  <si>
    <t>FPGA</t>
  </si>
  <si>
    <t>Actel</t>
  </si>
  <si>
    <t>RTAX2000S</t>
  </si>
  <si>
    <t>http://www.actel.com/products/milaero/rtaxs/default.aspx</t>
  </si>
  <si>
    <t xml:space="preserve">Peak is worst case. Standby is clock held static. </t>
  </si>
  <si>
    <t>Prom</t>
  </si>
  <si>
    <t>BAE</t>
  </si>
  <si>
    <t>238A790</t>
  </si>
  <si>
    <t>http://www.baesystems.com/BAEProd/groups/public/documents/bae_publication/bae_pdf_eis_lp_prom.pdf</t>
  </si>
  <si>
    <t>EEProm</t>
  </si>
  <si>
    <t>Maxwell</t>
  </si>
  <si>
    <t>28LV010</t>
  </si>
  <si>
    <t>http://www.maxwell.com/microelectronics/products/_components/memory/28LV010/description.html</t>
  </si>
  <si>
    <t>Rarely Used</t>
  </si>
  <si>
    <t>SRAM</t>
  </si>
  <si>
    <t>Honeywell</t>
  </si>
  <si>
    <t>HLX6228</t>
  </si>
  <si>
    <t>http://www.honeywell.com/sites/servlet/com.merx.npoint.servlets.DocumentServlet?docid=DC779DB21-BFD8-4896-C576-AAC548733FA3</t>
  </si>
  <si>
    <t>3d-Plus</t>
  </si>
  <si>
    <t>MMSD08256804S-C-1S</t>
  </si>
  <si>
    <t>http://www.3d-plus.com/PDF/Memorymodule/SDRAM/MMSD08256808S-C_2.pdf</t>
  </si>
  <si>
    <t>Standby assumes power switch is off</t>
  </si>
  <si>
    <t>Flash</t>
  </si>
  <si>
    <t>MMFN08408808S-F-1S</t>
  </si>
  <si>
    <t>http://www.3d-plus.com/PDF/Memorymodule/FLASH/MMFN08408808S-F_2.pdf</t>
  </si>
  <si>
    <t>Regulator</t>
  </si>
  <si>
    <t>TBD</t>
  </si>
  <si>
    <t>Regulator to make 1.5V</t>
  </si>
  <si>
    <t>Buffers</t>
  </si>
  <si>
    <t>TI</t>
  </si>
  <si>
    <t>SN54LVTH162244</t>
  </si>
  <si>
    <t>http://focus.ti.com/lit/ds/symlink/sn54lvth162244.pdf</t>
  </si>
  <si>
    <t>Actual number depends on final design</t>
  </si>
  <si>
    <t>Level Shifters &amp; Buffers for CDI</t>
  </si>
  <si>
    <t>Maybe not necessary if CDI is 3.3V, buffers instead</t>
  </si>
  <si>
    <t>ADC</t>
  </si>
  <si>
    <t>Linear</t>
  </si>
  <si>
    <t>LTC1604</t>
  </si>
  <si>
    <t>http://www.linear.com/pc/productDetail.jsp?navId=H0,C1,C1155,C1001,C1158,P1629</t>
  </si>
  <si>
    <t>5/-5</t>
  </si>
  <si>
    <t>Mux</t>
  </si>
  <si>
    <t>http://www.intersil.com/cda/deviceinfo/0,0,HS-508BRH,0.html</t>
  </si>
  <si>
    <t>10/-10</t>
  </si>
  <si>
    <t>LVDS Receiver</t>
  </si>
  <si>
    <t>Aeroflex</t>
  </si>
  <si>
    <t>UT54LVDS032LV</t>
  </si>
  <si>
    <t>http://www.ams.aeroflex.com/ProductFiles/DataSheets/LVDS/LVDSReceiver3v.pdf</t>
  </si>
  <si>
    <t>LVDS Driver</t>
  </si>
  <si>
    <t>UT54LVDS031LV</t>
  </si>
  <si>
    <t>http://www.ams.aeroflex.com/ProductFiles/DataSheets/LVDS/LVDSDriver3V.pdf</t>
  </si>
  <si>
    <t>Total Power</t>
  </si>
  <si>
    <t>Total 3.3V Current</t>
  </si>
  <si>
    <t>Total 1.5V Current</t>
  </si>
  <si>
    <t>Average Power only includes two banks of 4 parts on; peak power include one memory accessing.</t>
  </si>
  <si>
    <t>Peak Power</t>
  </si>
  <si>
    <t>Average Power</t>
  </si>
  <si>
    <t>Peak</t>
  </si>
  <si>
    <t>Instrument NTE Peak Power / Minimum Voltage (22V)</t>
  </si>
  <si>
    <t>Ludlam's DCB spreadsheet</t>
  </si>
  <si>
    <t>Ergun says 2x 2008-2-12</t>
  </si>
  <si>
    <t>Ludlam 2/12/2008, 3.3V system</t>
  </si>
  <si>
    <t>Peak current is based on worst case operating requirement plus margin at minimum operating voltage</t>
  </si>
  <si>
    <t>Avg</t>
  </si>
  <si>
    <t>Default = +50%</t>
  </si>
  <si>
    <t>Table is linked to "Detail 2008-02-14 LR" page</t>
  </si>
  <si>
    <t>(Efficiency =</t>
  </si>
  <si>
    <t>)</t>
  </si>
  <si>
    <t>65% efficiency, linear reg for 1.5V</t>
  </si>
  <si>
    <t>Total +5VD IDPU Current</t>
  </si>
  <si>
    <t>'Total' is drawn on the IDPU 28V bus.  The AXB and SPB Deploy services take zero normally, 2A peak during deploy</t>
  </si>
  <si>
    <t>'SPB' and 'AXB' show power dissipation in the preamps at the ends of the boom, drawn from the IDPU power service; 'Peak' in these rows is deploy current</t>
  </si>
  <si>
    <t>Table is linked to "Detail 2008-03-12" page</t>
  </si>
  <si>
    <t>Max is Door Opening (2 at a time)</t>
  </si>
  <si>
    <t>'Total' is drawn on the IDPU 28V bus.  The AXB and SPB Deploy services take zero normally, 4A peak worst case during deploy</t>
  </si>
  <si>
    <t>NTE calculated using guideline margin of 25%</t>
  </si>
  <si>
    <t>PinPuller (Door), 2 in parallel</t>
  </si>
  <si>
    <t>Motor Startup</t>
  </si>
  <si>
    <t>Frangibolt Max Current (AXB), 2 at once (backup)</t>
  </si>
  <si>
    <t>per Dlaton 3/13/2008 e-mail</t>
  </si>
  <si>
    <t>Table is linked to "Detail 2008-07-08" page</t>
  </si>
  <si>
    <t>NTE based on current CBE + Margin</t>
  </si>
  <si>
    <t>Cole 7/7/08 data</t>
  </si>
  <si>
    <t>EFW DFB Typical Power Consumption</t>
  </si>
  <si>
    <t>Power Supplies</t>
  </si>
  <si>
    <t>Analog</t>
  </si>
  <si>
    <t>Digital</t>
  </si>
  <si>
    <t>Part Number</t>
  </si>
  <si>
    <t>Qty</t>
  </si>
  <si>
    <t>Totals</t>
  </si>
  <si>
    <t>Each</t>
  </si>
  <si>
    <t>E Input and Filter Amps</t>
  </si>
  <si>
    <t>AD648</t>
  </si>
  <si>
    <t>E Catch Amps</t>
  </si>
  <si>
    <t>OP462</t>
  </si>
  <si>
    <t>2.5V Regulators</t>
  </si>
  <si>
    <t>B Input and Filter Amps</t>
  </si>
  <si>
    <t>B Catch Amps</t>
  </si>
  <si>
    <t>Analog Switches</t>
  </si>
  <si>
    <t>HI303</t>
  </si>
  <si>
    <t>A/D Drivers</t>
  </si>
  <si>
    <t>A/D Latchup Protection</t>
  </si>
  <si>
    <t>AD584</t>
  </si>
  <si>
    <t>ACTEL FPGA</t>
  </si>
  <si>
    <t>RTAX2000SL</t>
  </si>
  <si>
    <t>Digital LDO</t>
  </si>
  <si>
    <t>MSK5922</t>
  </si>
  <si>
    <t>M65609E</t>
  </si>
  <si>
    <t>Level Shifter/Buffer</t>
  </si>
  <si>
    <t>54ACS164245</t>
  </si>
  <si>
    <t>B/P Interface</t>
  </si>
  <si>
    <t>54ACS14</t>
  </si>
  <si>
    <t>POR</t>
  </si>
  <si>
    <t>Sub Total DIGITAL</t>
  </si>
  <si>
    <t>TOTAL:</t>
  </si>
  <si>
    <t>EFW DFB Max Power Consumption</t>
  </si>
  <si>
    <t>DFB_Max_2008_07_07</t>
  </si>
  <si>
    <t>THEMIS measurement+margin, 1 at a time</t>
  </si>
  <si>
    <t>EFW Deployment Heaters</t>
  </si>
  <si>
    <t>AXB Deployment Heaters</t>
  </si>
  <si>
    <t>+/-15F1</t>
  </si>
  <si>
    <t>+/-15F2</t>
  </si>
  <si>
    <t>+/-15F3</t>
  </si>
  <si>
    <t>+/-15F4</t>
  </si>
  <si>
    <t>+/-15F6</t>
  </si>
  <si>
    <t>+225V</t>
  </si>
  <si>
    <t>-225V</t>
  </si>
  <si>
    <t>Table is linked to "Detail 2008-08-12" page</t>
  </si>
  <si>
    <t>on BEB</t>
  </si>
  <si>
    <t>Updated for +/-15V preamp supply; Max is Door Opening (2 at a time)</t>
  </si>
  <si>
    <t>+/-225V scaled down from TN017</t>
  </si>
  <si>
    <t>225V supply inefficiency</t>
  </si>
  <si>
    <t>65% efficiency, linear reg for 1.5V, 25% efficiency for 225V supply</t>
  </si>
  <si>
    <t>Peak current is based on worst case operating requirement plus margin at minimum operating voltage, and exceeds the NTE average power</t>
  </si>
  <si>
    <t>CBE current is orbit-average for typical operating conditions</t>
  </si>
  <si>
    <t xml:space="preserve"> +1.8V D</t>
  </si>
  <si>
    <t>+3.6D (1)</t>
  </si>
  <si>
    <t>NTE based on current CBE + 25% AGM</t>
  </si>
  <si>
    <t>ICD says 10W at 35V</t>
  </si>
  <si>
    <r>
      <t xml:space="preserve">% 
</t>
    </r>
    <r>
      <rPr>
        <sz val="10"/>
        <rFont val="Arial"/>
        <family val="2"/>
      </rPr>
      <t>growth</t>
    </r>
    <r>
      <rPr>
        <b/>
        <sz val="10"/>
        <rFont val="Arial"/>
        <family val="2"/>
      </rPr>
      <t xml:space="preserve">
AGM</t>
    </r>
  </si>
  <si>
    <t>Peak Total (mW)</t>
  </si>
  <si>
    <t>Average Total (mW)</t>
  </si>
  <si>
    <t>Peak is worst case.</t>
  </si>
  <si>
    <t>Off when not used</t>
  </si>
  <si>
    <t>UT54ACS164245S</t>
  </si>
  <si>
    <t>LTC1605</t>
  </si>
  <si>
    <t>Intersil</t>
  </si>
  <si>
    <t>HI-0508</t>
  </si>
  <si>
    <t>HI-0509</t>
  </si>
  <si>
    <t>Table is linked to "Detail 2008-08-18" page</t>
  </si>
  <si>
    <t>Ludlam 8/18/2008</t>
  </si>
  <si>
    <t>Flash Duty cycle</t>
  </si>
  <si>
    <t>Add to DCB 1.5V CBE for Actel growth with temperature</t>
  </si>
  <si>
    <t>Table is linked to "Detail 2009-1-12" page</t>
  </si>
  <si>
    <t>+/-225V  from TN017</t>
  </si>
  <si>
    <t>per JH/JB 2009-1-12</t>
  </si>
  <si>
    <t>* peak power is 6mA on +/-225V, but only on one side at a time</t>
  </si>
  <si>
    <t>Peak power adjusted for only half of +/-225V peak</t>
  </si>
  <si>
    <t xml:space="preserve">Baseline = </t>
  </si>
  <si>
    <t>Only one 225V supply at peak current at a time</t>
  </si>
  <si>
    <t>2009-4-3 ETU measured *1.1, except 1.8V</t>
  </si>
  <si>
    <t>2009-4-3 ETU measurements 225, Floaters, +/-10</t>
  </si>
  <si>
    <t>ETU measurements, 2009-4-3</t>
  </si>
  <si>
    <t>Table is linked to "Detail 2009-04-03" page</t>
  </si>
  <si>
    <t>DCB</t>
  </si>
  <si>
    <t>NTE was fixed at PDR</t>
  </si>
  <si>
    <t>[4] DFB</t>
  </si>
  <si>
    <t>DCB Measured</t>
  </si>
  <si>
    <t>From DFB Max Pwr Estimate</t>
  </si>
  <si>
    <t>ETU measurements, 2009-9-11</t>
  </si>
  <si>
    <t>50% efficiency, linear reg for 1.5V, 38% efficiency for 225V supply</t>
  </si>
  <si>
    <t>Updated for +/-15V preamp supply; Max is Door Opening</t>
  </si>
  <si>
    <t>Table is linked to "Detail 2009-09-11" page</t>
  </si>
  <si>
    <t>ETU measurements, Updated for zener diodes added for derating, 2009-12-25</t>
  </si>
  <si>
    <t>LVSupply Inefficiency @28V</t>
  </si>
  <si>
    <t>LVSupply Inefficiency @27V</t>
  </si>
  <si>
    <t>LVSupply Inefficiency @30V</t>
  </si>
  <si>
    <t>LVSupply Inefficiency @33V</t>
  </si>
  <si>
    <t>per Dalton 3/13/2008 e-mail</t>
  </si>
  <si>
    <t>28V</t>
  </si>
  <si>
    <t>27V</t>
  </si>
  <si>
    <t>30V</t>
  </si>
  <si>
    <t>33V</t>
  </si>
  <si>
    <t>LVPS @ 28V</t>
  </si>
  <si>
    <t>LVPS @ 27V</t>
  </si>
  <si>
    <t>LVPS @ 30V</t>
  </si>
  <si>
    <t>LVPS @ 33V</t>
  </si>
  <si>
    <t>Total Minus LVPS</t>
  </si>
  <si>
    <t>IDPU 27V</t>
  </si>
  <si>
    <t>IDPU 30V</t>
  </si>
  <si>
    <t>IDPU 33V</t>
  </si>
  <si>
    <t>Total 28V</t>
  </si>
  <si>
    <t>Total 27V</t>
  </si>
  <si>
    <t>Total 30V</t>
  </si>
  <si>
    <t>Total 33V</t>
  </si>
  <si>
    <t>Efficiency</t>
  </si>
  <si>
    <t>Changes:</t>
  </si>
  <si>
    <t>M to N changed efficiency of 225 from 38% to 64% per Chris Tui email 9.16.2010</t>
  </si>
  <si>
    <t>SPB (4) Deployment</t>
  </si>
  <si>
    <t>AXB (2) Deployment</t>
  </si>
  <si>
    <t>Operating
Power
CBE (FM1)
(W)</t>
  </si>
  <si>
    <t>Operating
Power
CBE (FM2)
(W)</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</si>
</sst>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0.0000"/>
    <numFmt numFmtId="170" formatCode="0.00000"/>
    <numFmt numFmtId="171" formatCode="mmm\-yyyy"/>
    <numFmt numFmtId="172" formatCode="0.0%"/>
    <numFmt numFmtId="173" formatCode="&quot;$&quot;#,##0.0"/>
    <numFmt numFmtId="174" formatCode="#,##0.0"/>
    <numFmt numFmtId="175" formatCode="m/yy"/>
    <numFmt numFmtId="176" formatCode="0.000000"/>
    <numFmt numFmtId="177" formatCode="_(* #,##0.0_);_(* \(#,##0.0\);_(* &quot;-&quot;??_);_(@_)"/>
    <numFmt numFmtId="178" formatCode="_(* #,##0.0_);_(* \(#,##0.0\);_(* &quot;-&quot;?_);_(@_)"/>
    <numFmt numFmtId="179" formatCode="0.000000000"/>
    <numFmt numFmtId="180" formatCode="[$€-2]\ #,##0.00_);[Red]\([$€-2]\ #,##0.00\)"/>
  </numFmts>
  <fonts count="24">
    <font>
      <sz val="10"/>
      <name val="Arial"/>
      <family val="0"/>
    </font>
    <font>
      <b/>
      <sz val="10"/>
      <name val="Arial"/>
      <family val="2"/>
    </font>
    <font>
      <u val="single"/>
      <sz val="10"/>
      <color indexed="12"/>
      <name val="Arial"/>
      <family val="0"/>
    </font>
    <font>
      <u val="single"/>
      <sz val="10"/>
      <color indexed="36"/>
      <name val="Arial"/>
      <family val="0"/>
    </font>
    <font>
      <sz val="14"/>
      <name val="Arial"/>
      <family val="2"/>
    </font>
    <font>
      <b/>
      <sz val="10"/>
      <color indexed="12"/>
      <name val="Arial"/>
      <family val="2"/>
    </font>
    <font>
      <b/>
      <sz val="14"/>
      <name val="Arial"/>
      <family val="2"/>
    </font>
    <font>
      <i/>
      <sz val="10"/>
      <name val="Arial"/>
      <family val="2"/>
    </font>
    <font>
      <sz val="12"/>
      <name val="Arial"/>
      <family val="2"/>
    </font>
    <font>
      <sz val="11"/>
      <name val="Arial"/>
      <family val="2"/>
    </font>
    <font>
      <sz val="8"/>
      <name val="Arial"/>
      <family val="2"/>
    </font>
    <font>
      <b/>
      <sz val="12"/>
      <name val="Arial"/>
      <family val="2"/>
    </font>
    <font>
      <i/>
      <sz val="12"/>
      <name val="Arial"/>
      <family val="2"/>
    </font>
    <font>
      <b/>
      <i/>
      <sz val="10"/>
      <name val="Arial"/>
      <family val="2"/>
    </font>
    <font>
      <b/>
      <sz val="8"/>
      <name val="Tahoma"/>
      <family val="0"/>
    </font>
    <font>
      <sz val="8"/>
      <name val="Tahoma"/>
      <family val="0"/>
    </font>
    <font>
      <b/>
      <sz val="8"/>
      <name val="Arial"/>
      <family val="2"/>
    </font>
    <font>
      <sz val="10"/>
      <color indexed="10"/>
      <name val="Arial"/>
      <family val="0"/>
    </font>
    <font>
      <sz val="10"/>
      <color indexed="12"/>
      <name val="Arial"/>
      <family val="0"/>
    </font>
    <font>
      <b/>
      <sz val="10"/>
      <color indexed="10"/>
      <name val="Arial"/>
      <family val="2"/>
    </font>
    <font>
      <sz val="8.5"/>
      <name val="MS Sans Serif"/>
      <family val="0"/>
    </font>
    <font>
      <sz val="10"/>
      <color indexed="57"/>
      <name val="Arial"/>
      <family val="0"/>
    </font>
    <font>
      <b/>
      <u val="single"/>
      <sz val="10"/>
      <name val="Arial"/>
      <family val="2"/>
    </font>
    <font>
      <sz val="10"/>
      <color indexed="53"/>
      <name val="Arial"/>
      <family val="0"/>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s>
  <borders count="7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color indexed="63"/>
      </top>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style="medium"/>
      <bottom style="thin"/>
    </border>
    <border>
      <left>
        <color indexed="63"/>
      </left>
      <right>
        <color indexed="63"/>
      </right>
      <top>
        <color indexed="63"/>
      </top>
      <bottom style="medium"/>
    </border>
    <border>
      <left style="medium"/>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4">
    <xf numFmtId="0" fontId="0" fillId="0" borderId="0" xfId="0" applyAlignment="1">
      <alignment/>
    </xf>
    <xf numFmtId="0" fontId="1" fillId="0" borderId="0" xfId="0" applyFont="1" applyAlignment="1">
      <alignment/>
    </xf>
    <xf numFmtId="2" fontId="0" fillId="0" borderId="0" xfId="0" applyNumberFormat="1" applyAlignment="1">
      <alignment/>
    </xf>
    <xf numFmtId="2" fontId="1" fillId="0" borderId="1" xfId="0" applyNumberFormat="1" applyFont="1" applyBorder="1" applyAlignment="1">
      <alignment horizontal="center" wrapText="1"/>
    </xf>
    <xf numFmtId="9" fontId="0" fillId="0" borderId="0" xfId="0" applyNumberFormat="1" applyAlignment="1">
      <alignment/>
    </xf>
    <xf numFmtId="9" fontId="1" fillId="0" borderId="1" xfId="0" applyNumberFormat="1" applyFont="1" applyBorder="1" applyAlignment="1">
      <alignment horizontal="center" wrapText="1"/>
    </xf>
    <xf numFmtId="14" fontId="0" fillId="0" borderId="0" xfId="0" applyNumberFormat="1" applyAlignment="1">
      <alignment/>
    </xf>
    <xf numFmtId="2" fontId="1" fillId="0" borderId="0" xfId="0" applyNumberFormat="1" applyFont="1" applyAlignment="1">
      <alignment horizontal="center"/>
    </xf>
    <xf numFmtId="9" fontId="1" fillId="0" borderId="0" xfId="0" applyNumberFormat="1" applyFont="1" applyAlignment="1">
      <alignment horizontal="center"/>
    </xf>
    <xf numFmtId="0" fontId="1" fillId="0" borderId="1" xfId="0" applyFont="1" applyBorder="1" applyAlignment="1">
      <alignment horizontal="center"/>
    </xf>
    <xf numFmtId="2" fontId="0" fillId="0" borderId="2" xfId="0" applyNumberFormat="1" applyBorder="1" applyAlignment="1">
      <alignment/>
    </xf>
    <xf numFmtId="0" fontId="0" fillId="0" borderId="2" xfId="0" applyBorder="1" applyAlignment="1">
      <alignment/>
    </xf>
    <xf numFmtId="0" fontId="0" fillId="0" borderId="2" xfId="0" applyBorder="1" applyAlignment="1">
      <alignment horizontal="right"/>
    </xf>
    <xf numFmtId="2" fontId="0" fillId="0" borderId="0" xfId="0" applyNumberFormat="1" applyAlignment="1">
      <alignment horizontal="center"/>
    </xf>
    <xf numFmtId="2" fontId="0" fillId="0" borderId="2" xfId="0" applyNumberFormat="1" applyBorder="1" applyAlignment="1">
      <alignment horizontal="center"/>
    </xf>
    <xf numFmtId="9" fontId="0" fillId="0" borderId="0" xfId="0" applyNumberFormat="1" applyAlignment="1">
      <alignment horizontal="center"/>
    </xf>
    <xf numFmtId="0" fontId="0" fillId="0" borderId="0" xfId="0" applyAlignment="1">
      <alignment horizontal="center"/>
    </xf>
    <xf numFmtId="0" fontId="0" fillId="0" borderId="2" xfId="0" applyBorder="1" applyAlignment="1">
      <alignment horizontal="center"/>
    </xf>
    <xf numFmtId="0" fontId="4" fillId="0" borderId="0" xfId="0" applyFont="1" applyAlignment="1">
      <alignment/>
    </xf>
    <xf numFmtId="9" fontId="0" fillId="0" borderId="0" xfId="0" applyNumberFormat="1" applyAlignment="1">
      <alignment horizontal="left"/>
    </xf>
    <xf numFmtId="0" fontId="0" fillId="0" borderId="3" xfId="0" applyBorder="1" applyAlignment="1">
      <alignment/>
    </xf>
    <xf numFmtId="2" fontId="0" fillId="0" borderId="3" xfId="0" applyNumberFormat="1" applyBorder="1" applyAlignment="1">
      <alignment horizontal="center"/>
    </xf>
    <xf numFmtId="0" fontId="0" fillId="0" borderId="3" xfId="0" applyBorder="1" applyAlignment="1">
      <alignment horizontal="right"/>
    </xf>
    <xf numFmtId="2" fontId="0" fillId="0" borderId="4" xfId="0" applyNumberFormat="1" applyBorder="1" applyAlignment="1">
      <alignment horizontal="center"/>
    </xf>
    <xf numFmtId="0" fontId="1" fillId="0" borderId="3" xfId="0" applyFont="1" applyBorder="1" applyAlignment="1">
      <alignment/>
    </xf>
    <xf numFmtId="2" fontId="1" fillId="0" borderId="3" xfId="0" applyNumberFormat="1" applyFont="1" applyBorder="1" applyAlignment="1">
      <alignment horizontal="center"/>
    </xf>
    <xf numFmtId="2" fontId="1" fillId="2" borderId="3" xfId="0" applyNumberFormat="1" applyFont="1" applyFill="1" applyBorder="1" applyAlignment="1">
      <alignment horizontal="center" wrapText="1"/>
    </xf>
    <xf numFmtId="0" fontId="1" fillId="2" borderId="3" xfId="0" applyFont="1" applyFill="1" applyBorder="1" applyAlignment="1">
      <alignment horizontal="center" vertical="center"/>
    </xf>
    <xf numFmtId="9" fontId="0" fillId="0" borderId="0" xfId="0" applyNumberFormat="1" applyFill="1" applyBorder="1" applyAlignment="1">
      <alignment horizontal="center"/>
    </xf>
    <xf numFmtId="9" fontId="1"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9" fontId="1" fillId="0" borderId="1" xfId="0" applyNumberFormat="1" applyFont="1" applyFill="1" applyBorder="1" applyAlignment="1">
      <alignment horizontal="center" wrapText="1"/>
    </xf>
    <xf numFmtId="0" fontId="1" fillId="0" borderId="4" xfId="0" applyFont="1" applyBorder="1" applyAlignment="1">
      <alignment horizontal="left"/>
    </xf>
    <xf numFmtId="2" fontId="1" fillId="0" borderId="4" xfId="0" applyNumberFormat="1" applyFont="1" applyBorder="1" applyAlignment="1">
      <alignment horizontal="center"/>
    </xf>
    <xf numFmtId="9" fontId="5" fillId="0" borderId="0" xfId="0" applyNumberFormat="1" applyFont="1" applyAlignment="1">
      <alignment horizontal="left"/>
    </xf>
    <xf numFmtId="0" fontId="6" fillId="0" borderId="0" xfId="0" applyFont="1" applyAlignment="1">
      <alignment/>
    </xf>
    <xf numFmtId="0" fontId="0" fillId="0" borderId="0" xfId="0" applyFont="1" applyAlignment="1">
      <alignment horizontal="center"/>
    </xf>
    <xf numFmtId="10" fontId="0" fillId="0" borderId="0" xfId="0" applyNumberFormat="1" applyAlignment="1">
      <alignment/>
    </xf>
    <xf numFmtId="0" fontId="0" fillId="0" borderId="0" xfId="0" applyBorder="1" applyAlignment="1">
      <alignment/>
    </xf>
    <xf numFmtId="0" fontId="7" fillId="0" borderId="0" xfId="0" applyFont="1" applyBorder="1" applyAlignment="1">
      <alignment/>
    </xf>
    <xf numFmtId="0" fontId="8" fillId="0" borderId="0" xfId="0" applyFont="1" applyBorder="1" applyAlignment="1">
      <alignment horizontal="center" vertical="center"/>
    </xf>
    <xf numFmtId="0" fontId="0" fillId="2" borderId="5" xfId="0" applyFont="1" applyFill="1" applyBorder="1" applyAlignment="1">
      <alignment horizontal="center"/>
    </xf>
    <xf numFmtId="0" fontId="0" fillId="2" borderId="6" xfId="0" applyFill="1" applyBorder="1" applyAlignment="1">
      <alignment horizontal="center"/>
    </xf>
    <xf numFmtId="0" fontId="0" fillId="2" borderId="6" xfId="0" applyFill="1" applyBorder="1" applyAlignment="1">
      <alignment/>
    </xf>
    <xf numFmtId="0" fontId="0" fillId="2" borderId="5" xfId="0" applyFill="1" applyBorder="1" applyAlignment="1">
      <alignment horizontal="center"/>
    </xf>
    <xf numFmtId="10" fontId="0" fillId="2" borderId="6" xfId="0" applyNumberFormat="1" applyFill="1" applyBorder="1" applyAlignment="1">
      <alignment horizontal="center"/>
    </xf>
    <xf numFmtId="9" fontId="0" fillId="2" borderId="7" xfId="0" applyNumberFormat="1" applyFill="1" applyBorder="1" applyAlignment="1">
      <alignment horizontal="center"/>
    </xf>
    <xf numFmtId="0" fontId="10" fillId="3" borderId="3" xfId="0" applyFont="1" applyFill="1" applyBorder="1" applyAlignment="1">
      <alignment horizontal="center"/>
    </xf>
    <xf numFmtId="0" fontId="10" fillId="3" borderId="3" xfId="0" applyFont="1" applyFill="1" applyBorder="1" applyAlignment="1" quotePrefix="1">
      <alignment horizontal="center"/>
    </xf>
    <xf numFmtId="0" fontId="10" fillId="4" borderId="3" xfId="0" applyFont="1" applyFill="1" applyBorder="1" applyAlignment="1" quotePrefix="1">
      <alignment horizontal="center"/>
    </xf>
    <xf numFmtId="0" fontId="8" fillId="0" borderId="3" xfId="0" applyFont="1" applyBorder="1" applyAlignment="1">
      <alignment/>
    </xf>
    <xf numFmtId="0" fontId="8" fillId="5" borderId="3" xfId="0" applyFont="1" applyFill="1" applyBorder="1" applyAlignment="1">
      <alignment/>
    </xf>
    <xf numFmtId="0" fontId="8" fillId="0" borderId="0" xfId="0" applyFont="1" applyAlignment="1">
      <alignment/>
    </xf>
    <xf numFmtId="0" fontId="0" fillId="0" borderId="0" xfId="0" applyFont="1" applyFill="1" applyBorder="1" applyAlignment="1">
      <alignment horizontal="center"/>
    </xf>
    <xf numFmtId="165" fontId="0" fillId="0" borderId="8" xfId="0" applyNumberFormat="1" applyBorder="1" applyAlignment="1">
      <alignment horizontal="center"/>
    </xf>
    <xf numFmtId="0" fontId="0" fillId="0" borderId="8" xfId="0" applyBorder="1" applyAlignment="1">
      <alignment/>
    </xf>
    <xf numFmtId="165" fontId="0" fillId="0" borderId="8" xfId="0" applyNumberFormat="1" applyBorder="1" applyAlignment="1">
      <alignment/>
    </xf>
    <xf numFmtId="0" fontId="0" fillId="5" borderId="8" xfId="0" applyFill="1" applyBorder="1" applyAlignment="1">
      <alignment/>
    </xf>
    <xf numFmtId="9" fontId="0" fillId="0" borderId="0" xfId="0" applyNumberFormat="1" applyBorder="1" applyAlignment="1">
      <alignment/>
    </xf>
    <xf numFmtId="165" fontId="0" fillId="5" borderId="8" xfId="0" applyNumberFormat="1" applyFill="1" applyBorder="1" applyAlignment="1">
      <alignment/>
    </xf>
    <xf numFmtId="2" fontId="8" fillId="0" borderId="0" xfId="0" applyNumberFormat="1" applyFont="1" applyBorder="1" applyAlignment="1">
      <alignment/>
    </xf>
    <xf numFmtId="1" fontId="0" fillId="0" borderId="3" xfId="0" applyNumberFormat="1" applyFont="1" applyBorder="1" applyAlignment="1">
      <alignment horizontal="center"/>
    </xf>
    <xf numFmtId="0" fontId="8" fillId="0" borderId="0" xfId="0" applyFont="1" applyBorder="1" applyAlignment="1">
      <alignment/>
    </xf>
    <xf numFmtId="0" fontId="0" fillId="0" borderId="9" xfId="0" applyBorder="1" applyAlignment="1">
      <alignment/>
    </xf>
    <xf numFmtId="0" fontId="0" fillId="0" borderId="0" xfId="0" applyFont="1" applyBorder="1" applyAlignment="1">
      <alignment horizontal="center"/>
    </xf>
    <xf numFmtId="0" fontId="0" fillId="0" borderId="0" xfId="0" applyBorder="1" applyAlignment="1">
      <alignment horizontal="center"/>
    </xf>
    <xf numFmtId="2" fontId="0" fillId="0" borderId="10" xfId="0" applyNumberFormat="1" applyFont="1" applyBorder="1" applyAlignment="1">
      <alignment/>
    </xf>
    <xf numFmtId="10" fontId="0" fillId="0" borderId="0" xfId="0" applyNumberFormat="1"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0" fontId="8" fillId="0" borderId="0" xfId="0" applyFont="1" applyFill="1" applyBorder="1" applyAlignment="1">
      <alignment/>
    </xf>
    <xf numFmtId="0" fontId="11" fillId="0" borderId="12" xfId="0" applyFont="1" applyBorder="1" applyAlignment="1">
      <alignment/>
    </xf>
    <xf numFmtId="0" fontId="8" fillId="0" borderId="6" xfId="0" applyFont="1" applyBorder="1" applyAlignment="1">
      <alignment horizontal="center"/>
    </xf>
    <xf numFmtId="9" fontId="8" fillId="0" borderId="6" xfId="0" applyNumberFormat="1" applyFont="1" applyBorder="1" applyAlignment="1">
      <alignment/>
    </xf>
    <xf numFmtId="1" fontId="0" fillId="0" borderId="3" xfId="0" applyNumberFormat="1" applyFont="1" applyBorder="1" applyAlignment="1">
      <alignment/>
    </xf>
    <xf numFmtId="0" fontId="0" fillId="0" borderId="10" xfId="0" applyFont="1" applyFill="1" applyBorder="1" applyAlignment="1">
      <alignment horizontal="center"/>
    </xf>
    <xf numFmtId="9" fontId="0" fillId="0" borderId="13" xfId="0" applyNumberFormat="1" applyBorder="1" applyAlignment="1">
      <alignment/>
    </xf>
    <xf numFmtId="165" fontId="0" fillId="0" borderId="13" xfId="0" applyNumberFormat="1" applyBorder="1" applyAlignment="1">
      <alignment/>
    </xf>
    <xf numFmtId="0" fontId="0" fillId="0" borderId="0" xfId="0" applyFont="1" applyAlignment="1">
      <alignment/>
    </xf>
    <xf numFmtId="0" fontId="0" fillId="0" borderId="14" xfId="0" applyFill="1" applyBorder="1" applyAlignment="1">
      <alignment/>
    </xf>
    <xf numFmtId="0" fontId="0" fillId="0" borderId="1" xfId="0" applyFont="1" applyBorder="1" applyAlignment="1">
      <alignment horizontal="center"/>
    </xf>
    <xf numFmtId="0" fontId="0" fillId="0" borderId="1" xfId="0" applyBorder="1" applyAlignment="1">
      <alignment horizontal="center"/>
    </xf>
    <xf numFmtId="9" fontId="0" fillId="0" borderId="1" xfId="0" applyNumberFormat="1" applyBorder="1" applyAlignment="1">
      <alignment/>
    </xf>
    <xf numFmtId="2" fontId="0" fillId="0" borderId="15"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0" borderId="18" xfId="0" applyBorder="1" applyAlignment="1">
      <alignment/>
    </xf>
    <xf numFmtId="0" fontId="0" fillId="0" borderId="6" xfId="0" applyBorder="1" applyAlignment="1">
      <alignment/>
    </xf>
    <xf numFmtId="0" fontId="0" fillId="0" borderId="6" xfId="0" applyFill="1" applyBorder="1" applyAlignment="1">
      <alignment/>
    </xf>
    <xf numFmtId="0" fontId="11" fillId="0" borderId="19" xfId="0" applyFont="1" applyBorder="1" applyAlignment="1">
      <alignment/>
    </xf>
    <xf numFmtId="0" fontId="8" fillId="0" borderId="20" xfId="0" applyFont="1" applyBorder="1" applyAlignment="1">
      <alignment horizontal="center"/>
    </xf>
    <xf numFmtId="0" fontId="8" fillId="0" borderId="20" xfId="0" applyFont="1" applyBorder="1" applyAlignment="1">
      <alignment/>
    </xf>
    <xf numFmtId="164" fontId="8" fillId="0" borderId="0" xfId="0" applyNumberFormat="1" applyFont="1" applyBorder="1" applyAlignment="1">
      <alignment/>
    </xf>
    <xf numFmtId="165" fontId="8" fillId="3" borderId="21" xfId="0" applyNumberFormat="1" applyFont="1" applyFill="1" applyBorder="1" applyAlignment="1">
      <alignment horizontal="center"/>
    </xf>
    <xf numFmtId="0" fontId="0" fillId="0" borderId="13" xfId="0" applyFont="1" applyBorder="1" applyAlignment="1">
      <alignment/>
    </xf>
    <xf numFmtId="0" fontId="0" fillId="0" borderId="8" xfId="0" applyFont="1" applyBorder="1" applyAlignment="1">
      <alignment/>
    </xf>
    <xf numFmtId="0" fontId="7" fillId="0" borderId="8" xfId="0" applyFont="1" applyBorder="1" applyAlignment="1">
      <alignment/>
    </xf>
    <xf numFmtId="0" fontId="8" fillId="0" borderId="8" xfId="0" applyFont="1" applyFill="1" applyBorder="1" applyAlignment="1">
      <alignment/>
    </xf>
    <xf numFmtId="0" fontId="11" fillId="0" borderId="0" xfId="0" applyFont="1" applyBorder="1" applyAlignment="1">
      <alignment/>
    </xf>
    <xf numFmtId="0" fontId="8" fillId="0" borderId="0" xfId="0" applyFont="1" applyBorder="1" applyAlignment="1">
      <alignment horizontal="center"/>
    </xf>
    <xf numFmtId="10" fontId="8" fillId="0" borderId="0" xfId="0" applyNumberFormat="1" applyFont="1" applyBorder="1" applyAlignment="1">
      <alignment/>
    </xf>
    <xf numFmtId="165" fontId="12" fillId="0" borderId="8" xfId="0" applyNumberFormat="1" applyFont="1" applyBorder="1" applyAlignment="1">
      <alignment/>
    </xf>
    <xf numFmtId="165" fontId="0" fillId="0" borderId="13" xfId="0" applyNumberFormat="1" applyFont="1" applyBorder="1" applyAlignment="1">
      <alignment/>
    </xf>
    <xf numFmtId="164" fontId="11" fillId="0" borderId="0" xfId="0" applyNumberFormat="1" applyFont="1" applyBorder="1" applyAlignment="1">
      <alignment/>
    </xf>
    <xf numFmtId="0" fontId="12" fillId="0" borderId="21" xfId="0" applyFont="1" applyBorder="1" applyAlignment="1">
      <alignment/>
    </xf>
    <xf numFmtId="2" fontId="8" fillId="0" borderId="22" xfId="0" applyNumberFormat="1" applyFont="1" applyBorder="1" applyAlignment="1">
      <alignment/>
    </xf>
    <xf numFmtId="2" fontId="8" fillId="0" borderId="21" xfId="0" applyNumberFormat="1" applyFont="1" applyBorder="1" applyAlignment="1">
      <alignment/>
    </xf>
    <xf numFmtId="0" fontId="7" fillId="0" borderId="21" xfId="0" applyFont="1" applyBorder="1" applyAlignment="1">
      <alignment/>
    </xf>
    <xf numFmtId="0" fontId="8" fillId="0" borderId="21" xfId="0" applyFont="1" applyFill="1" applyBorder="1" applyAlignment="1">
      <alignment/>
    </xf>
    <xf numFmtId="0" fontId="7" fillId="0" borderId="0" xfId="0" applyFont="1" applyFill="1" applyBorder="1" applyAlignment="1">
      <alignment/>
    </xf>
    <xf numFmtId="0" fontId="1" fillId="0" borderId="0" xfId="0" applyFont="1" applyBorder="1" applyAlignment="1">
      <alignment/>
    </xf>
    <xf numFmtId="0" fontId="7" fillId="0" borderId="0" xfId="0" applyFont="1" applyAlignment="1">
      <alignment/>
    </xf>
    <xf numFmtId="0" fontId="1" fillId="0" borderId="0" xfId="0" applyFont="1" applyBorder="1" applyAlignment="1">
      <alignment horizontal="right"/>
    </xf>
    <xf numFmtId="165" fontId="0" fillId="0" borderId="0" xfId="0" applyNumberFormat="1" applyBorder="1" applyAlignment="1">
      <alignment/>
    </xf>
    <xf numFmtId="165" fontId="0" fillId="0" borderId="0" xfId="0" applyNumberFormat="1" applyFont="1" applyBorder="1" applyAlignment="1">
      <alignment/>
    </xf>
    <xf numFmtId="0" fontId="13" fillId="0" borderId="0" xfId="0" applyFont="1" applyAlignment="1">
      <alignment/>
    </xf>
    <xf numFmtId="2" fontId="0" fillId="0" borderId="11" xfId="0" applyNumberFormat="1" applyFont="1" applyBorder="1" applyAlignment="1">
      <alignment horizontal="right"/>
    </xf>
    <xf numFmtId="2" fontId="11" fillId="0" borderId="5" xfId="0" applyNumberFormat="1" applyFont="1" applyBorder="1" applyAlignment="1">
      <alignment/>
    </xf>
    <xf numFmtId="10" fontId="11" fillId="0" borderId="6" xfId="0" applyNumberFormat="1" applyFont="1" applyBorder="1" applyAlignment="1">
      <alignment/>
    </xf>
    <xf numFmtId="2" fontId="11" fillId="0" borderId="7" xfId="0" applyNumberFormat="1" applyFont="1" applyBorder="1" applyAlignment="1">
      <alignment/>
    </xf>
    <xf numFmtId="165" fontId="11" fillId="0" borderId="23" xfId="0" applyNumberFormat="1" applyFont="1" applyFill="1" applyBorder="1" applyAlignment="1">
      <alignment horizontal="right"/>
    </xf>
    <xf numFmtId="9" fontId="0" fillId="0" borderId="0" xfId="0" applyNumberFormat="1" applyFont="1" applyAlignment="1">
      <alignment horizontal="left"/>
    </xf>
    <xf numFmtId="2" fontId="0" fillId="0" borderId="0" xfId="0" applyNumberFormat="1" applyFont="1" applyAlignment="1">
      <alignment/>
    </xf>
    <xf numFmtId="2" fontId="7" fillId="0" borderId="0" xfId="0" applyNumberFormat="1" applyFont="1" applyAlignment="1">
      <alignment/>
    </xf>
    <xf numFmtId="1" fontId="7" fillId="0" borderId="0" xfId="0" applyNumberFormat="1" applyFont="1" applyAlignment="1">
      <alignment/>
    </xf>
    <xf numFmtId="0" fontId="7" fillId="0" borderId="0" xfId="0" applyFont="1" applyAlignment="1">
      <alignment horizontal="left"/>
    </xf>
    <xf numFmtId="2" fontId="7" fillId="0" borderId="0" xfId="0" applyNumberFormat="1" applyFont="1" applyAlignment="1">
      <alignment horizontal="right"/>
    </xf>
    <xf numFmtId="177" fontId="7" fillId="0" borderId="0" xfId="15" applyNumberFormat="1" applyFont="1" applyAlignment="1">
      <alignment/>
    </xf>
    <xf numFmtId="43" fontId="7" fillId="0" borderId="0" xfId="0" applyNumberFormat="1" applyFont="1" applyAlignment="1">
      <alignment/>
    </xf>
    <xf numFmtId="2" fontId="0" fillId="0" borderId="3" xfId="0" applyNumberFormat="1" applyFont="1" applyBorder="1" applyAlignment="1">
      <alignment horizontal="center"/>
    </xf>
    <xf numFmtId="0" fontId="0" fillId="0" borderId="3" xfId="0" applyFont="1" applyBorder="1" applyAlignment="1">
      <alignment/>
    </xf>
    <xf numFmtId="0" fontId="1" fillId="2" borderId="3" xfId="0" applyFont="1" applyFill="1" applyBorder="1" applyAlignment="1">
      <alignment horizontal="left" vertical="top"/>
    </xf>
    <xf numFmtId="0" fontId="1" fillId="2" borderId="3" xfId="0" applyFont="1" applyFill="1" applyBorder="1" applyAlignment="1">
      <alignment horizontal="center" vertical="top" wrapText="1"/>
    </xf>
    <xf numFmtId="10" fontId="0" fillId="0" borderId="1" xfId="0" applyNumberFormat="1" applyFont="1" applyBorder="1" applyAlignment="1">
      <alignment/>
    </xf>
    <xf numFmtId="2" fontId="0" fillId="0" borderId="24" xfId="0" applyNumberFormat="1" applyFont="1" applyBorder="1" applyAlignment="1">
      <alignment horizontal="right"/>
    </xf>
    <xf numFmtId="0" fontId="17" fillId="0" borderId="16" xfId="0" applyFont="1" applyBorder="1" applyAlignment="1">
      <alignment/>
    </xf>
    <xf numFmtId="0" fontId="17" fillId="0" borderId="0" xfId="0" applyFont="1" applyAlignment="1">
      <alignment/>
    </xf>
    <xf numFmtId="165" fontId="0" fillId="0" borderId="0" xfId="0" applyNumberFormat="1" applyAlignment="1">
      <alignment/>
    </xf>
    <xf numFmtId="165" fontId="17" fillId="0" borderId="17" xfId="0" applyNumberFormat="1" applyFont="1" applyBorder="1" applyAlignment="1">
      <alignment/>
    </xf>
    <xf numFmtId="0" fontId="0" fillId="0" borderId="16" xfId="0" applyFont="1" applyBorder="1" applyAlignment="1">
      <alignment/>
    </xf>
    <xf numFmtId="165" fontId="0" fillId="0" borderId="17" xfId="0" applyNumberFormat="1" applyFont="1" applyBorder="1" applyAlignment="1">
      <alignment/>
    </xf>
    <xf numFmtId="165" fontId="18" fillId="0" borderId="8" xfId="0" applyNumberFormat="1" applyFont="1" applyBorder="1" applyAlignment="1">
      <alignment/>
    </xf>
    <xf numFmtId="165" fontId="0" fillId="0" borderId="10" xfId="0" applyNumberFormat="1" applyBorder="1" applyAlignment="1">
      <alignment/>
    </xf>
    <xf numFmtId="0" fontId="10" fillId="4" borderId="25" xfId="0" applyFont="1" applyFill="1" applyBorder="1" applyAlignment="1" quotePrefix="1">
      <alignment horizontal="center"/>
    </xf>
    <xf numFmtId="0" fontId="8" fillId="5" borderId="25" xfId="0" applyFont="1" applyFill="1" applyBorder="1" applyAlignment="1">
      <alignment/>
    </xf>
    <xf numFmtId="165" fontId="0" fillId="5" borderId="13" xfId="0" applyNumberFormat="1" applyFill="1" applyBorder="1" applyAlignment="1">
      <alignment/>
    </xf>
    <xf numFmtId="0" fontId="0" fillId="5" borderId="13" xfId="0" applyFill="1" applyBorder="1" applyAlignment="1">
      <alignment/>
    </xf>
    <xf numFmtId="0" fontId="0" fillId="0" borderId="16" xfId="0" applyFill="1" applyBorder="1" applyAlignment="1">
      <alignment/>
    </xf>
    <xf numFmtId="0" fontId="7" fillId="0" borderId="13" xfId="0" applyFont="1" applyBorder="1" applyAlignment="1">
      <alignment/>
    </xf>
    <xf numFmtId="0" fontId="7" fillId="0" borderId="22" xfId="0" applyFont="1" applyBorder="1" applyAlignment="1">
      <alignment/>
    </xf>
    <xf numFmtId="0" fontId="10" fillId="3" borderId="26" xfId="0" applyFont="1" applyFill="1" applyBorder="1" applyAlignment="1" quotePrefix="1">
      <alignment horizontal="center"/>
    </xf>
    <xf numFmtId="0" fontId="10" fillId="3" borderId="27" xfId="0" applyFont="1" applyFill="1" applyBorder="1" applyAlignment="1" quotePrefix="1">
      <alignment horizontal="center"/>
    </xf>
    <xf numFmtId="0" fontId="10" fillId="3" borderId="28" xfId="0" applyFont="1" applyFill="1" applyBorder="1" applyAlignment="1" quotePrefix="1">
      <alignment horizontal="center"/>
    </xf>
    <xf numFmtId="165" fontId="0" fillId="0" borderId="29" xfId="0" applyNumberFormat="1" applyBorder="1" applyAlignment="1">
      <alignment/>
    </xf>
    <xf numFmtId="0" fontId="8" fillId="0" borderId="30" xfId="0" applyFont="1" applyBorder="1" applyAlignment="1">
      <alignment/>
    </xf>
    <xf numFmtId="0" fontId="8" fillId="0" borderId="31" xfId="0" applyFont="1" applyBorder="1" applyAlignment="1">
      <alignment/>
    </xf>
    <xf numFmtId="165" fontId="18" fillId="0" borderId="9" xfId="0" applyNumberFormat="1" applyFont="1" applyBorder="1" applyAlignment="1">
      <alignment/>
    </xf>
    <xf numFmtId="165" fontId="0" fillId="0" borderId="9" xfId="0" applyNumberFormat="1" applyBorder="1" applyAlignment="1">
      <alignment/>
    </xf>
    <xf numFmtId="0" fontId="0" fillId="0" borderId="32" xfId="0" applyBorder="1" applyAlignment="1">
      <alignment/>
    </xf>
    <xf numFmtId="0" fontId="0" fillId="0" borderId="33" xfId="0" applyBorder="1" applyAlignment="1">
      <alignment/>
    </xf>
    <xf numFmtId="0" fontId="0" fillId="0" borderId="12" xfId="0" applyBorder="1" applyAlignment="1">
      <alignment/>
    </xf>
    <xf numFmtId="0" fontId="0" fillId="0" borderId="7" xfId="0" applyBorder="1" applyAlignment="1">
      <alignment/>
    </xf>
    <xf numFmtId="0" fontId="0" fillId="0" borderId="9" xfId="0" applyFont="1" applyBorder="1" applyAlignment="1">
      <alignment/>
    </xf>
    <xf numFmtId="0" fontId="0" fillId="0" borderId="29" xfId="0" applyFont="1" applyBorder="1" applyAlignment="1">
      <alignment/>
    </xf>
    <xf numFmtId="165" fontId="0" fillId="0" borderId="9" xfId="0" applyNumberFormat="1" applyFont="1" applyBorder="1" applyAlignment="1">
      <alignment/>
    </xf>
    <xf numFmtId="165" fontId="0" fillId="0" borderId="11" xfId="0" applyNumberFormat="1" applyFont="1" applyBorder="1" applyAlignment="1">
      <alignment/>
    </xf>
    <xf numFmtId="2" fontId="8" fillId="0" borderId="34" xfId="0" applyNumberFormat="1" applyFont="1" applyBorder="1" applyAlignment="1">
      <alignment/>
    </xf>
    <xf numFmtId="2" fontId="8" fillId="0" borderId="35" xfId="0" applyNumberFormat="1" applyFont="1" applyBorder="1" applyAlignment="1">
      <alignment/>
    </xf>
    <xf numFmtId="2" fontId="8" fillId="0" borderId="36" xfId="0" applyNumberFormat="1" applyFont="1" applyBorder="1" applyAlignment="1">
      <alignment/>
    </xf>
    <xf numFmtId="0" fontId="10" fillId="3" borderId="5" xfId="0" applyFont="1" applyFill="1" applyBorder="1" applyAlignment="1">
      <alignment horizontal="center"/>
    </xf>
    <xf numFmtId="1" fontId="0" fillId="0" borderId="5" xfId="0" applyNumberFormat="1" applyFont="1" applyBorder="1" applyAlignment="1">
      <alignment horizontal="center"/>
    </xf>
    <xf numFmtId="165" fontId="0" fillId="0" borderId="10" xfId="0" applyNumberFormat="1" applyBorder="1" applyAlignment="1">
      <alignment horizontal="center"/>
    </xf>
    <xf numFmtId="1" fontId="0" fillId="0" borderId="5" xfId="0" applyNumberFormat="1" applyFont="1" applyBorder="1" applyAlignment="1">
      <alignment/>
    </xf>
    <xf numFmtId="0" fontId="1" fillId="0" borderId="5" xfId="0" applyFont="1" applyBorder="1" applyAlignment="1">
      <alignment/>
    </xf>
    <xf numFmtId="165" fontId="8" fillId="3" borderId="15" xfId="0" applyNumberFormat="1" applyFont="1" applyFill="1" applyBorder="1" applyAlignment="1">
      <alignment horizontal="center"/>
    </xf>
    <xf numFmtId="165" fontId="12" fillId="0" borderId="10" xfId="0" applyNumberFormat="1" applyFont="1" applyBorder="1" applyAlignment="1">
      <alignment/>
    </xf>
    <xf numFmtId="0" fontId="12" fillId="0" borderId="15" xfId="0" applyFont="1" applyBorder="1" applyAlignment="1">
      <alignment/>
    </xf>
    <xf numFmtId="0" fontId="10" fillId="3" borderId="27" xfId="0" applyFont="1" applyFill="1" applyBorder="1" applyAlignment="1">
      <alignment horizontal="center"/>
    </xf>
    <xf numFmtId="0" fontId="0" fillId="0" borderId="29" xfId="0" applyBorder="1" applyAlignment="1">
      <alignment/>
    </xf>
    <xf numFmtId="2" fontId="8" fillId="0" borderId="37" xfId="0" applyNumberFormat="1" applyFont="1" applyBorder="1" applyAlignment="1">
      <alignment/>
    </xf>
    <xf numFmtId="165" fontId="0" fillId="0" borderId="8" xfId="0" applyNumberFormat="1" applyFont="1" applyBorder="1" applyAlignment="1">
      <alignment/>
    </xf>
    <xf numFmtId="165" fontId="0" fillId="0" borderId="29" xfId="0" applyNumberFormat="1" applyFont="1" applyBorder="1" applyAlignment="1">
      <alignment/>
    </xf>
    <xf numFmtId="165" fontId="0" fillId="0" borderId="11" xfId="0" applyNumberFormat="1" applyBorder="1" applyAlignment="1">
      <alignment/>
    </xf>
    <xf numFmtId="165" fontId="0" fillId="0" borderId="21" xfId="0" applyNumberFormat="1" applyBorder="1" applyAlignment="1">
      <alignment/>
    </xf>
    <xf numFmtId="165" fontId="11" fillId="0" borderId="38" xfId="0" applyNumberFormat="1" applyFont="1" applyFill="1" applyBorder="1" applyAlignment="1">
      <alignment horizontal="right"/>
    </xf>
    <xf numFmtId="9" fontId="0" fillId="0" borderId="39" xfId="0" applyNumberFormat="1" applyFill="1" applyBorder="1" applyAlignment="1">
      <alignment horizontal="center"/>
    </xf>
    <xf numFmtId="0" fontId="0" fillId="0" borderId="40" xfId="0" applyBorder="1" applyAlignment="1">
      <alignment/>
    </xf>
    <xf numFmtId="49" fontId="0" fillId="0" borderId="0" xfId="0" applyNumberFormat="1" applyAlignment="1">
      <alignment/>
    </xf>
    <xf numFmtId="49" fontId="17" fillId="4" borderId="0" xfId="0" applyNumberFormat="1" applyFont="1" applyFill="1" applyAlignment="1">
      <alignment horizontal="center"/>
    </xf>
    <xf numFmtId="49" fontId="0" fillId="0" borderId="0" xfId="0" applyNumberFormat="1" applyAlignment="1">
      <alignment horizontal="center"/>
    </xf>
    <xf numFmtId="0" fontId="17" fillId="4" borderId="0" xfId="0" applyFont="1" applyFill="1" applyAlignment="1">
      <alignment horizontal="center"/>
    </xf>
    <xf numFmtId="0" fontId="0" fillId="0" borderId="0" xfId="0" applyFill="1" applyAlignment="1">
      <alignment horizontal="center"/>
    </xf>
    <xf numFmtId="0" fontId="17" fillId="0" borderId="0" xfId="0" applyFont="1" applyFill="1" applyAlignment="1">
      <alignment horizontal="center"/>
    </xf>
    <xf numFmtId="2"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xf>
    <xf numFmtId="2" fontId="0" fillId="0" borderId="0" xfId="0" applyNumberFormat="1" applyAlignment="1">
      <alignment horizontal="right"/>
    </xf>
    <xf numFmtId="0" fontId="0" fillId="0" borderId="0" xfId="0" applyFill="1" applyAlignment="1">
      <alignment/>
    </xf>
    <xf numFmtId="49" fontId="0" fillId="0" borderId="0" xfId="0" applyNumberFormat="1" applyFill="1" applyAlignment="1">
      <alignment/>
    </xf>
    <xf numFmtId="2" fontId="0" fillId="0" borderId="0" xfId="0" applyNumberFormat="1" applyFill="1" applyAlignment="1">
      <alignment horizontal="right"/>
    </xf>
    <xf numFmtId="0" fontId="1" fillId="0" borderId="0" xfId="0" applyFont="1" applyFill="1" applyAlignment="1">
      <alignment/>
    </xf>
    <xf numFmtId="49" fontId="1" fillId="0" borderId="0" xfId="0" applyNumberFormat="1" applyFont="1" applyAlignment="1">
      <alignment/>
    </xf>
    <xf numFmtId="0" fontId="19" fillId="4" borderId="0" xfId="0" applyFont="1" applyFill="1" applyAlignment="1">
      <alignment horizontal="center"/>
    </xf>
    <xf numFmtId="2" fontId="1" fillId="0" borderId="0" xfId="0" applyNumberFormat="1" applyFont="1" applyFill="1" applyAlignment="1">
      <alignment/>
    </xf>
    <xf numFmtId="0" fontId="0" fillId="0" borderId="41" xfId="0" applyBorder="1" applyAlignment="1">
      <alignment/>
    </xf>
    <xf numFmtId="165" fontId="0" fillId="0" borderId="17" xfId="0" applyNumberFormat="1"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1" fillId="0" borderId="43" xfId="0" applyFont="1" applyBorder="1" applyAlignment="1">
      <alignment/>
    </xf>
    <xf numFmtId="0" fontId="1" fillId="0" borderId="44" xfId="0" applyFont="1" applyBorder="1" applyAlignment="1">
      <alignment/>
    </xf>
    <xf numFmtId="0" fontId="0" fillId="0" borderId="45" xfId="0" applyBorder="1" applyAlignment="1">
      <alignment/>
    </xf>
    <xf numFmtId="0" fontId="0" fillId="0" borderId="22" xfId="0" applyBorder="1" applyAlignment="1">
      <alignment/>
    </xf>
    <xf numFmtId="0" fontId="0" fillId="0" borderId="21" xfId="0" applyBorder="1" applyAlignment="1">
      <alignment/>
    </xf>
    <xf numFmtId="0" fontId="2" fillId="0" borderId="21" xfId="20" applyBorder="1" applyAlignment="1">
      <alignment/>
    </xf>
    <xf numFmtId="1" fontId="0" fillId="0" borderId="21"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25" xfId="0" applyBorder="1" applyAlignment="1">
      <alignment/>
    </xf>
    <xf numFmtId="1" fontId="0" fillId="0" borderId="3" xfId="0" applyNumberFormat="1" applyBorder="1" applyAlignment="1">
      <alignment/>
    </xf>
    <xf numFmtId="0" fontId="0" fillId="0" borderId="31" xfId="0" applyBorder="1" applyAlignment="1">
      <alignment/>
    </xf>
    <xf numFmtId="0" fontId="2" fillId="0" borderId="3" xfId="20" applyBorder="1" applyAlignment="1">
      <alignment/>
    </xf>
    <xf numFmtId="0" fontId="0" fillId="0" borderId="47" xfId="0" applyFill="1" applyBorder="1" applyAlignment="1">
      <alignment/>
    </xf>
    <xf numFmtId="0" fontId="0" fillId="0" borderId="25" xfId="0" applyFill="1" applyBorder="1" applyAlignment="1">
      <alignment/>
    </xf>
    <xf numFmtId="0" fontId="20" fillId="0" borderId="3" xfId="0" applyFont="1" applyBorder="1" applyAlignment="1">
      <alignment/>
    </xf>
    <xf numFmtId="0" fontId="0" fillId="0" borderId="48" xfId="0" applyBorder="1" applyAlignment="1">
      <alignment/>
    </xf>
    <xf numFmtId="0" fontId="0" fillId="0" borderId="49" xfId="0" applyFill="1" applyBorder="1" applyAlignment="1">
      <alignment/>
    </xf>
    <xf numFmtId="0" fontId="20" fillId="0" borderId="50" xfId="0" applyFont="1" applyBorder="1" applyAlignment="1">
      <alignment/>
    </xf>
    <xf numFmtId="0" fontId="0" fillId="0" borderId="50" xfId="0" applyBorder="1" applyAlignment="1">
      <alignment/>
    </xf>
    <xf numFmtId="0" fontId="2" fillId="0" borderId="50" xfId="20" applyBorder="1" applyAlignment="1">
      <alignment/>
    </xf>
    <xf numFmtId="1" fontId="0" fillId="0" borderId="50" xfId="0" applyNumberFormat="1" applyBorder="1" applyAlignment="1">
      <alignment/>
    </xf>
    <xf numFmtId="0" fontId="0" fillId="0" borderId="38" xfId="0" applyBorder="1" applyAlignment="1">
      <alignment/>
    </xf>
    <xf numFmtId="0" fontId="0" fillId="0" borderId="51" xfId="0" applyBorder="1" applyAlignment="1">
      <alignment/>
    </xf>
    <xf numFmtId="1" fontId="0" fillId="0" borderId="51" xfId="0" applyNumberFormat="1" applyBorder="1" applyAlignment="1">
      <alignment/>
    </xf>
    <xf numFmtId="1" fontId="0" fillId="0" borderId="40" xfId="0" applyNumberFormat="1" applyBorder="1" applyAlignment="1">
      <alignment/>
    </xf>
    <xf numFmtId="165" fontId="18" fillId="0" borderId="10" xfId="0" applyNumberFormat="1" applyFont="1" applyBorder="1" applyAlignment="1">
      <alignment/>
    </xf>
    <xf numFmtId="0" fontId="8" fillId="0" borderId="52" xfId="0" applyFont="1" applyBorder="1" applyAlignment="1">
      <alignment/>
    </xf>
    <xf numFmtId="165" fontId="11" fillId="0" borderId="53" xfId="0" applyNumberFormat="1" applyFont="1" applyFill="1" applyBorder="1" applyAlignment="1">
      <alignment horizontal="right"/>
    </xf>
    <xf numFmtId="10" fontId="11" fillId="0" borderId="52" xfId="0" applyNumberFormat="1" applyFont="1" applyBorder="1" applyAlignment="1">
      <alignment/>
    </xf>
    <xf numFmtId="165" fontId="11" fillId="0" borderId="33" xfId="0" applyNumberFormat="1" applyFont="1" applyFill="1" applyBorder="1" applyAlignment="1">
      <alignment horizontal="right"/>
    </xf>
    <xf numFmtId="0" fontId="8" fillId="0" borderId="41" xfId="0" applyFont="1" applyBorder="1" applyAlignment="1">
      <alignment horizontal="center"/>
    </xf>
    <xf numFmtId="10" fontId="8" fillId="0" borderId="51" xfId="0" applyNumberFormat="1" applyFont="1" applyBorder="1" applyAlignment="1">
      <alignment/>
    </xf>
    <xf numFmtId="165" fontId="8" fillId="0" borderId="54" xfId="0" applyNumberFormat="1" applyFont="1" applyBorder="1" applyAlignment="1">
      <alignment/>
    </xf>
    <xf numFmtId="165" fontId="8" fillId="0" borderId="44" xfId="0" applyNumberFormat="1" applyFont="1" applyBorder="1" applyAlignment="1">
      <alignment/>
    </xf>
    <xf numFmtId="165" fontId="21" fillId="0" borderId="9" xfId="0" applyNumberFormat="1" applyFont="1" applyBorder="1" applyAlignment="1">
      <alignment/>
    </xf>
    <xf numFmtId="0" fontId="21" fillId="0" borderId="0" xfId="0" applyFont="1" applyAlignment="1">
      <alignment horizontal="right"/>
    </xf>
    <xf numFmtId="0" fontId="18" fillId="0" borderId="0" xfId="0" applyFont="1" applyBorder="1" applyAlignment="1">
      <alignment horizontal="right"/>
    </xf>
    <xf numFmtId="165" fontId="17" fillId="0" borderId="16" xfId="0" applyNumberFormat="1" applyFont="1" applyBorder="1" applyAlignment="1">
      <alignment/>
    </xf>
    <xf numFmtId="165" fontId="21" fillId="0" borderId="18" xfId="0" applyNumberFormat="1" applyFont="1" applyBorder="1" applyAlignment="1">
      <alignment/>
    </xf>
    <xf numFmtId="165" fontId="21" fillId="0" borderId="8" xfId="0" applyNumberFormat="1" applyFont="1" applyBorder="1" applyAlignment="1">
      <alignment/>
    </xf>
    <xf numFmtId="165" fontId="21" fillId="0" borderId="29" xfId="0" applyNumberFormat="1" applyFont="1" applyBorder="1" applyAlignment="1">
      <alignment/>
    </xf>
    <xf numFmtId="165" fontId="21" fillId="0" borderId="10" xfId="0" applyNumberFormat="1" applyFont="1" applyBorder="1" applyAlignment="1">
      <alignment/>
    </xf>
    <xf numFmtId="0" fontId="0" fillId="0" borderId="10" xfId="0" applyBorder="1" applyAlignment="1">
      <alignment/>
    </xf>
    <xf numFmtId="165" fontId="21" fillId="0" borderId="17" xfId="0" applyNumberFormat="1" applyFont="1" applyBorder="1" applyAlignment="1">
      <alignment/>
    </xf>
    <xf numFmtId="165" fontId="21" fillId="0" borderId="46" xfId="0" applyNumberFormat="1" applyFont="1" applyBorder="1" applyAlignment="1">
      <alignment/>
    </xf>
    <xf numFmtId="0" fontId="0" fillId="0" borderId="5" xfId="0" applyBorder="1" applyAlignment="1">
      <alignment/>
    </xf>
    <xf numFmtId="165" fontId="0" fillId="0" borderId="8" xfId="0" applyNumberFormat="1" applyFont="1" applyBorder="1" applyAlignment="1">
      <alignment/>
    </xf>
    <xf numFmtId="0" fontId="10" fillId="3" borderId="55" xfId="0" applyFont="1" applyFill="1" applyBorder="1" applyAlignment="1" quotePrefix="1">
      <alignment horizontal="center"/>
    </xf>
    <xf numFmtId="0" fontId="8" fillId="0" borderId="5" xfId="0" applyFont="1" applyBorder="1" applyAlignment="1">
      <alignment/>
    </xf>
    <xf numFmtId="165" fontId="0" fillId="0" borderId="10" xfId="0" applyNumberFormat="1" applyFont="1" applyBorder="1" applyAlignment="1">
      <alignment/>
    </xf>
    <xf numFmtId="0" fontId="0" fillId="0" borderId="10" xfId="0" applyFont="1" applyBorder="1" applyAlignment="1">
      <alignment/>
    </xf>
    <xf numFmtId="2" fontId="8" fillId="0" borderId="56" xfId="0" applyNumberFormat="1" applyFont="1" applyBorder="1" applyAlignment="1">
      <alignment/>
    </xf>
    <xf numFmtId="0" fontId="10" fillId="3" borderId="57" xfId="0" applyFont="1" applyFill="1" applyBorder="1" applyAlignment="1" quotePrefix="1">
      <alignment horizontal="center"/>
    </xf>
    <xf numFmtId="0" fontId="8" fillId="0" borderId="12" xfId="0" applyFont="1" applyBorder="1" applyAlignment="1">
      <alignment/>
    </xf>
    <xf numFmtId="165" fontId="0" fillId="0" borderId="18" xfId="0" applyNumberFormat="1" applyBorder="1" applyAlignment="1">
      <alignment/>
    </xf>
    <xf numFmtId="165" fontId="0" fillId="0" borderId="18" xfId="0" applyNumberFormat="1" applyFont="1" applyBorder="1" applyAlignment="1">
      <alignment/>
    </xf>
    <xf numFmtId="0" fontId="0" fillId="0" borderId="18" xfId="0" applyFont="1" applyFill="1" applyBorder="1" applyAlignment="1">
      <alignment/>
    </xf>
    <xf numFmtId="165" fontId="0" fillId="0" borderId="18" xfId="0" applyNumberFormat="1" applyFont="1" applyBorder="1" applyAlignment="1">
      <alignment/>
    </xf>
    <xf numFmtId="2" fontId="8" fillId="0" borderId="58" xfId="0" applyNumberFormat="1" applyFont="1" applyBorder="1" applyAlignment="1">
      <alignment/>
    </xf>
    <xf numFmtId="165" fontId="0" fillId="0" borderId="32" xfId="0" applyNumberFormat="1" applyBorder="1" applyAlignment="1">
      <alignment/>
    </xf>
    <xf numFmtId="165" fontId="0" fillId="0" borderId="16" xfId="0" applyNumberFormat="1" applyFont="1" applyBorder="1" applyAlignment="1">
      <alignment/>
    </xf>
    <xf numFmtId="165" fontId="0" fillId="0" borderId="53" xfId="0" applyNumberFormat="1" applyBorder="1" applyAlignment="1">
      <alignment/>
    </xf>
    <xf numFmtId="165" fontId="0" fillId="0" borderId="33" xfId="0" applyNumberFormat="1" applyBorder="1" applyAlignment="1">
      <alignment/>
    </xf>
    <xf numFmtId="165" fontId="18" fillId="0" borderId="18" xfId="0" applyNumberFormat="1" applyFont="1" applyBorder="1" applyAlignment="1">
      <alignment/>
    </xf>
    <xf numFmtId="165" fontId="18" fillId="0" borderId="33" xfId="0" applyNumberFormat="1" applyFont="1" applyBorder="1" applyAlignment="1">
      <alignment/>
    </xf>
    <xf numFmtId="165" fontId="18" fillId="0" borderId="53" xfId="0" applyNumberFormat="1" applyFont="1" applyBorder="1" applyAlignment="1">
      <alignment/>
    </xf>
    <xf numFmtId="165" fontId="18" fillId="0" borderId="17" xfId="0" applyNumberFormat="1" applyFont="1" applyBorder="1" applyAlignment="1">
      <alignment/>
    </xf>
    <xf numFmtId="165" fontId="18" fillId="0" borderId="15" xfId="0" applyNumberFormat="1" applyFont="1" applyBorder="1" applyAlignment="1">
      <alignment/>
    </xf>
    <xf numFmtId="165" fontId="21" fillId="0" borderId="21" xfId="0" applyNumberFormat="1" applyFont="1" applyBorder="1" applyAlignment="1">
      <alignment/>
    </xf>
    <xf numFmtId="165" fontId="21" fillId="0" borderId="15" xfId="0" applyNumberFormat="1" applyFont="1" applyBorder="1" applyAlignment="1">
      <alignment/>
    </xf>
    <xf numFmtId="0" fontId="0" fillId="0" borderId="0" xfId="0" applyAlignment="1" quotePrefix="1">
      <alignment/>
    </xf>
    <xf numFmtId="164" fontId="7" fillId="0" borderId="0" xfId="0" applyNumberFormat="1" applyFont="1" applyAlignment="1">
      <alignment/>
    </xf>
    <xf numFmtId="0" fontId="7" fillId="0" borderId="0" xfId="0" applyFont="1" applyAlignment="1">
      <alignment horizontal="right"/>
    </xf>
    <xf numFmtId="0" fontId="0" fillId="0" borderId="0" xfId="0" applyAlignment="1">
      <alignment horizontal="left"/>
    </xf>
    <xf numFmtId="0" fontId="1" fillId="0" borderId="0" xfId="0" applyFont="1" applyAlignment="1">
      <alignment horizontal="left"/>
    </xf>
    <xf numFmtId="49" fontId="0" fillId="0" borderId="0" xfId="0" applyNumberFormat="1" applyBorder="1" applyAlignment="1">
      <alignment horizontal="center"/>
    </xf>
    <xf numFmtId="49" fontId="0" fillId="0" borderId="13" xfId="0" applyNumberFormat="1" applyBorder="1" applyAlignment="1">
      <alignment horizontal="center"/>
    </xf>
    <xf numFmtId="49" fontId="0" fillId="0" borderId="22" xfId="0" applyNumberFormat="1" applyBorder="1" applyAlignment="1">
      <alignment/>
    </xf>
    <xf numFmtId="49" fontId="0" fillId="0" borderId="21" xfId="0" applyNumberFormat="1" applyBorder="1" applyAlignment="1">
      <alignment horizontal="center"/>
    </xf>
    <xf numFmtId="49" fontId="1" fillId="0" borderId="1" xfId="0" applyNumberFormat="1" applyFont="1" applyBorder="1" applyAlignment="1">
      <alignment horizontal="center"/>
    </xf>
    <xf numFmtId="0" fontId="0" fillId="0" borderId="13" xfId="0" applyBorder="1" applyAlignment="1">
      <alignment/>
    </xf>
    <xf numFmtId="49" fontId="0" fillId="0" borderId="8" xfId="0" applyNumberFormat="1" applyBorder="1" applyAlignment="1">
      <alignment horizontal="center"/>
    </xf>
    <xf numFmtId="0" fontId="0" fillId="0" borderId="16" xfId="0" applyFill="1" applyBorder="1" applyAlignment="1">
      <alignment horizontal="center"/>
    </xf>
    <xf numFmtId="0" fontId="22" fillId="0" borderId="0" xfId="0" applyFont="1" applyBorder="1" applyAlignment="1">
      <alignment/>
    </xf>
    <xf numFmtId="2" fontId="0" fillId="0" borderId="0" xfId="0" applyNumberFormat="1" applyFill="1" applyBorder="1" applyAlignment="1">
      <alignment horizontal="center"/>
    </xf>
    <xf numFmtId="164" fontId="0" fillId="0" borderId="13" xfId="0" applyNumberFormat="1" applyFill="1" applyBorder="1" applyAlignment="1">
      <alignment horizontal="center"/>
    </xf>
    <xf numFmtId="2" fontId="0" fillId="0" borderId="13" xfId="0" applyNumberFormat="1" applyFill="1" applyBorder="1" applyAlignment="1">
      <alignment horizontal="center"/>
    </xf>
    <xf numFmtId="164" fontId="0" fillId="0" borderId="0" xfId="0" applyNumberFormat="1" applyFill="1" applyBorder="1" applyAlignment="1">
      <alignment/>
    </xf>
    <xf numFmtId="1" fontId="0" fillId="0" borderId="8" xfId="0" applyNumberFormat="1" applyBorder="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64" fontId="0" fillId="0" borderId="13" xfId="0" applyNumberForma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164" fontId="1" fillId="0" borderId="0" xfId="0" applyNumberFormat="1" applyFont="1" applyFill="1" applyBorder="1" applyAlignment="1">
      <alignment/>
    </xf>
    <xf numFmtId="0" fontId="22" fillId="0" borderId="0" xfId="0" applyFont="1" applyFill="1" applyBorder="1" applyAlignment="1">
      <alignment/>
    </xf>
    <xf numFmtId="0" fontId="1" fillId="0" borderId="13" xfId="0" applyFont="1" applyBorder="1" applyAlignment="1">
      <alignment/>
    </xf>
    <xf numFmtId="49" fontId="1" fillId="0" borderId="8" xfId="0" applyNumberFormat="1" applyFont="1" applyBorder="1" applyAlignment="1">
      <alignment horizontal="center"/>
    </xf>
    <xf numFmtId="2" fontId="0" fillId="0" borderId="0" xfId="0" applyNumberFormat="1" applyFont="1" applyFill="1" applyBorder="1" applyAlignment="1">
      <alignment/>
    </xf>
    <xf numFmtId="164" fontId="0" fillId="0" borderId="13" xfId="0" applyNumberFormat="1" applyFont="1" applyFill="1" applyBorder="1" applyAlignment="1">
      <alignment/>
    </xf>
    <xf numFmtId="0" fontId="0" fillId="0" borderId="8" xfId="0" applyBorder="1" applyAlignment="1">
      <alignment horizontal="center"/>
    </xf>
    <xf numFmtId="0" fontId="0" fillId="0" borderId="13" xfId="0" applyFill="1" applyBorder="1" applyAlignment="1">
      <alignment horizontal="center"/>
    </xf>
    <xf numFmtId="2" fontId="0" fillId="0" borderId="0" xfId="0" applyNumberFormat="1" applyFill="1" applyBorder="1" applyAlignment="1">
      <alignment horizontal="right"/>
    </xf>
    <xf numFmtId="2" fontId="0" fillId="0" borderId="0" xfId="0" applyNumberFormat="1" applyFont="1" applyFill="1" applyBorder="1" applyAlignment="1">
      <alignment horizontal="right"/>
    </xf>
    <xf numFmtId="0" fontId="23" fillId="0" borderId="0" xfId="0" applyFont="1" applyAlignment="1" quotePrefix="1">
      <alignment horizontal="right"/>
    </xf>
    <xf numFmtId="165" fontId="23" fillId="0" borderId="10" xfId="0" applyNumberFormat="1" applyFont="1" applyBorder="1" applyAlignment="1">
      <alignment/>
    </xf>
    <xf numFmtId="9" fontId="0" fillId="0" borderId="0" xfId="0" applyNumberFormat="1" applyFont="1" applyAlignment="1">
      <alignment/>
    </xf>
    <xf numFmtId="0" fontId="11" fillId="0" borderId="0" xfId="0" applyFont="1" applyAlignment="1">
      <alignment/>
    </xf>
    <xf numFmtId="2" fontId="1" fillId="2" borderId="3" xfId="0" applyNumberFormat="1" applyFont="1" applyFill="1" applyBorder="1" applyAlignment="1">
      <alignment horizontal="center" vertical="center" wrapText="1"/>
    </xf>
    <xf numFmtId="9" fontId="0" fillId="0" borderId="3" xfId="0" applyNumberFormat="1" applyBorder="1" applyAlignment="1">
      <alignment horizontal="center"/>
    </xf>
    <xf numFmtId="9" fontId="1" fillId="0" borderId="0" xfId="0" applyNumberFormat="1" applyFont="1" applyAlignment="1">
      <alignment horizontal="left"/>
    </xf>
    <xf numFmtId="165" fontId="1" fillId="0" borderId="8" xfId="0" applyNumberFormat="1" applyFont="1" applyBorder="1" applyAlignment="1">
      <alignment/>
    </xf>
    <xf numFmtId="9" fontId="1" fillId="0" borderId="0" xfId="0" applyNumberFormat="1" applyFont="1" applyAlignment="1">
      <alignment/>
    </xf>
    <xf numFmtId="9" fontId="0" fillId="0" borderId="4" xfId="0" applyNumberFormat="1" applyBorder="1" applyAlignment="1">
      <alignment horizontal="center"/>
    </xf>
    <xf numFmtId="169" fontId="0" fillId="0" borderId="8" xfId="0" applyNumberFormat="1" applyBorder="1" applyAlignment="1">
      <alignment/>
    </xf>
    <xf numFmtId="169" fontId="0" fillId="0" borderId="17" xfId="0" applyNumberFormat="1" applyBorder="1" applyAlignment="1">
      <alignment/>
    </xf>
    <xf numFmtId="169" fontId="0" fillId="0" borderId="13" xfId="0" applyNumberFormat="1" applyFont="1" applyBorder="1" applyAlignment="1">
      <alignment/>
    </xf>
    <xf numFmtId="169" fontId="23" fillId="0" borderId="10" xfId="0" applyNumberFormat="1" applyFont="1" applyBorder="1" applyAlignment="1">
      <alignment/>
    </xf>
    <xf numFmtId="0" fontId="0" fillId="0" borderId="1" xfId="0" applyFill="1" applyBorder="1" applyAlignment="1">
      <alignment horizontal="center"/>
    </xf>
    <xf numFmtId="10" fontId="0" fillId="0" borderId="51" xfId="0" applyNumberFormat="1" applyFont="1" applyBorder="1" applyAlignment="1">
      <alignment/>
    </xf>
    <xf numFmtId="0" fontId="0" fillId="0" borderId="0" xfId="0" applyBorder="1" applyAlignment="1">
      <alignment horizontal="right"/>
    </xf>
    <xf numFmtId="169" fontId="0" fillId="0" borderId="10" xfId="0" applyNumberFormat="1" applyFont="1" applyBorder="1" applyAlignment="1">
      <alignment/>
    </xf>
    <xf numFmtId="165" fontId="0" fillId="0" borderId="46" xfId="0" applyNumberFormat="1" applyFont="1" applyBorder="1" applyAlignment="1">
      <alignment/>
    </xf>
    <xf numFmtId="0" fontId="8" fillId="0" borderId="3" xfId="0" applyFont="1" applyBorder="1" applyAlignment="1">
      <alignment/>
    </xf>
    <xf numFmtId="0" fontId="8" fillId="0" borderId="31" xfId="0" applyFont="1" applyBorder="1" applyAlignment="1">
      <alignment/>
    </xf>
    <xf numFmtId="165" fontId="0" fillId="0" borderId="9" xfId="0" applyNumberFormat="1" applyFont="1" applyBorder="1" applyAlignment="1">
      <alignment/>
    </xf>
    <xf numFmtId="165" fontId="0" fillId="0" borderId="15" xfId="0" applyNumberFormat="1" applyFont="1" applyBorder="1" applyAlignment="1">
      <alignment/>
    </xf>
    <xf numFmtId="165" fontId="0" fillId="0" borderId="21" xfId="0" applyNumberFormat="1" applyFont="1" applyBorder="1" applyAlignment="1">
      <alignment/>
    </xf>
    <xf numFmtId="165" fontId="0" fillId="0" borderId="32" xfId="0" applyNumberFormat="1" applyFont="1" applyBorder="1" applyAlignment="1">
      <alignment/>
    </xf>
    <xf numFmtId="165" fontId="0" fillId="0" borderId="53" xfId="0" applyNumberFormat="1" applyFont="1" applyBorder="1" applyAlignment="1">
      <alignment/>
    </xf>
    <xf numFmtId="9" fontId="0" fillId="0" borderId="0" xfId="0" applyNumberFormat="1" applyBorder="1" applyAlignment="1">
      <alignment horizontal="center"/>
    </xf>
    <xf numFmtId="9" fontId="8" fillId="0" borderId="6" xfId="0" applyNumberFormat="1" applyFont="1" applyBorder="1" applyAlignment="1">
      <alignment horizontal="center"/>
    </xf>
    <xf numFmtId="9" fontId="0" fillId="0" borderId="13" xfId="0" applyNumberFormat="1" applyBorder="1" applyAlignment="1">
      <alignment horizontal="center"/>
    </xf>
    <xf numFmtId="9" fontId="0" fillId="0" borderId="1" xfId="0" applyNumberFormat="1" applyBorder="1" applyAlignment="1">
      <alignment horizontal="center"/>
    </xf>
    <xf numFmtId="0" fontId="0" fillId="3" borderId="3" xfId="0" applyFill="1" applyBorder="1" applyAlignment="1">
      <alignment horizontal="right"/>
    </xf>
    <xf numFmtId="2" fontId="0" fillId="3" borderId="3" xfId="0" applyNumberFormat="1" applyFill="1" applyBorder="1" applyAlignment="1">
      <alignment horizontal="center"/>
    </xf>
    <xf numFmtId="9" fontId="0" fillId="3" borderId="3" xfId="0" applyNumberFormat="1" applyFill="1" applyBorder="1" applyAlignment="1">
      <alignment horizontal="center"/>
    </xf>
    <xf numFmtId="0" fontId="1" fillId="3" borderId="3" xfId="0" applyFont="1" applyFill="1" applyBorder="1" applyAlignment="1">
      <alignment/>
    </xf>
    <xf numFmtId="2" fontId="1" fillId="3" borderId="3" xfId="0" applyNumberFormat="1" applyFont="1" applyFill="1" applyBorder="1" applyAlignment="1">
      <alignment horizontal="center"/>
    </xf>
    <xf numFmtId="0" fontId="1" fillId="3" borderId="4" xfId="0" applyFont="1" applyFill="1" applyBorder="1" applyAlignment="1">
      <alignment horizontal="left"/>
    </xf>
    <xf numFmtId="2" fontId="1" fillId="3" borderId="4" xfId="0" applyNumberFormat="1" applyFont="1" applyFill="1" applyBorder="1" applyAlignment="1">
      <alignment horizontal="center"/>
    </xf>
    <xf numFmtId="9" fontId="0" fillId="3" borderId="4" xfId="0" applyNumberFormat="1" applyFill="1" applyBorder="1" applyAlignment="1">
      <alignment horizontal="center"/>
    </xf>
    <xf numFmtId="2" fontId="0" fillId="3" borderId="4" xfId="0" applyNumberFormat="1" applyFill="1" applyBorder="1" applyAlignment="1">
      <alignment horizontal="center"/>
    </xf>
    <xf numFmtId="0" fontId="1" fillId="6" borderId="3" xfId="0" applyFont="1" applyFill="1" applyBorder="1" applyAlignment="1">
      <alignment horizontal="center" vertical="center"/>
    </xf>
    <xf numFmtId="2" fontId="1" fillId="6" borderId="3" xfId="0" applyNumberFormat="1" applyFont="1" applyFill="1" applyBorder="1" applyAlignment="1">
      <alignment horizontal="center" wrapText="1"/>
    </xf>
    <xf numFmtId="2" fontId="1" fillId="6" borderId="3" xfId="0" applyNumberFormat="1" applyFont="1" applyFill="1" applyBorder="1" applyAlignment="1">
      <alignment horizontal="center" vertical="center" wrapText="1"/>
    </xf>
    <xf numFmtId="2" fontId="1" fillId="0" borderId="0" xfId="0" applyNumberFormat="1" applyFont="1" applyBorder="1" applyAlignment="1">
      <alignment/>
    </xf>
    <xf numFmtId="0" fontId="10" fillId="0" borderId="25" xfId="0" applyFont="1" applyFill="1" applyBorder="1" applyAlignment="1" quotePrefix="1">
      <alignment horizontal="center"/>
    </xf>
    <xf numFmtId="0" fontId="10" fillId="0" borderId="3" xfId="0" applyFont="1" applyFill="1" applyBorder="1" applyAlignment="1" quotePrefix="1">
      <alignment horizontal="center"/>
    </xf>
    <xf numFmtId="0" fontId="8" fillId="0" borderId="25" xfId="0" applyFont="1" applyFill="1" applyBorder="1" applyAlignment="1">
      <alignment/>
    </xf>
    <xf numFmtId="0" fontId="8" fillId="0" borderId="3" xfId="0" applyFont="1" applyFill="1" applyBorder="1" applyAlignment="1">
      <alignment/>
    </xf>
    <xf numFmtId="165" fontId="0" fillId="0" borderId="13" xfId="0" applyNumberFormat="1" applyFill="1" applyBorder="1" applyAlignment="1">
      <alignment/>
    </xf>
    <xf numFmtId="165" fontId="0" fillId="0" borderId="8" xfId="0" applyNumberFormat="1" applyFill="1" applyBorder="1" applyAlignment="1">
      <alignment/>
    </xf>
    <xf numFmtId="0" fontId="0" fillId="0" borderId="13" xfId="0" applyFill="1" applyBorder="1" applyAlignment="1">
      <alignment/>
    </xf>
    <xf numFmtId="0" fontId="0" fillId="0" borderId="8" xfId="0" applyFill="1" applyBorder="1" applyAlignment="1">
      <alignment/>
    </xf>
    <xf numFmtId="0" fontId="18" fillId="0" borderId="0" xfId="0" applyFont="1" applyBorder="1" applyAlignment="1">
      <alignment horizontal="left"/>
    </xf>
    <xf numFmtId="0" fontId="21" fillId="0" borderId="0" xfId="0" applyFont="1" applyAlignment="1">
      <alignment horizontal="left"/>
    </xf>
    <xf numFmtId="0" fontId="23" fillId="0" borderId="0" xfId="0" applyFont="1" applyAlignment="1" quotePrefix="1">
      <alignment horizontal="left"/>
    </xf>
    <xf numFmtId="0" fontId="0" fillId="0" borderId="0" xfId="0" applyBorder="1" applyAlignment="1">
      <alignment horizontal="left"/>
    </xf>
    <xf numFmtId="0" fontId="0" fillId="0" borderId="18" xfId="0" applyFill="1" applyBorder="1" applyAlignment="1">
      <alignment/>
    </xf>
    <xf numFmtId="0" fontId="0" fillId="0" borderId="52" xfId="0" applyFill="1" applyBorder="1" applyAlignment="1">
      <alignment/>
    </xf>
    <xf numFmtId="2" fontId="0" fillId="0" borderId="0" xfId="0" applyNumberFormat="1" applyFont="1" applyBorder="1" applyAlignment="1">
      <alignment horizontal="center"/>
    </xf>
    <xf numFmtId="165" fontId="0" fillId="0" borderId="16" xfId="0" applyNumberFormat="1" applyBorder="1" applyAlignment="1">
      <alignment/>
    </xf>
    <xf numFmtId="165" fontId="0" fillId="0" borderId="3" xfId="0" applyNumberFormat="1" applyBorder="1" applyAlignment="1">
      <alignment/>
    </xf>
    <xf numFmtId="0" fontId="10" fillId="3" borderId="59" xfId="0" applyFont="1" applyFill="1" applyBorder="1" applyAlignment="1" quotePrefix="1">
      <alignment horizontal="center"/>
    </xf>
    <xf numFmtId="0" fontId="8" fillId="0" borderId="6"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2" fontId="8" fillId="0" borderId="60" xfId="0" applyNumberFormat="1" applyFont="1" applyBorder="1" applyAlignment="1">
      <alignment/>
    </xf>
    <xf numFmtId="165" fontId="0" fillId="0" borderId="30" xfId="0" applyNumberFormat="1" applyBorder="1" applyAlignment="1">
      <alignment/>
    </xf>
    <xf numFmtId="165" fontId="0" fillId="0" borderId="31" xfId="0" applyNumberFormat="1" applyBorder="1" applyAlignment="1">
      <alignment/>
    </xf>
    <xf numFmtId="165" fontId="0" fillId="0" borderId="15" xfId="0" applyNumberFormat="1" applyFont="1" applyBorder="1" applyAlignment="1">
      <alignment/>
    </xf>
    <xf numFmtId="165" fontId="0" fillId="0" borderId="10" xfId="0" applyNumberFormat="1" applyFont="1" applyFill="1" applyBorder="1" applyAlignment="1">
      <alignment/>
    </xf>
    <xf numFmtId="0" fontId="1" fillId="3" borderId="17" xfId="0" applyFont="1" applyFill="1" applyBorder="1" applyAlignment="1">
      <alignment/>
    </xf>
    <xf numFmtId="2" fontId="0" fillId="3" borderId="17" xfId="0" applyNumberFormat="1" applyFill="1" applyBorder="1" applyAlignment="1">
      <alignment horizontal="center"/>
    </xf>
    <xf numFmtId="9" fontId="0" fillId="3" borderId="17" xfId="0" applyNumberFormat="1" applyFill="1" applyBorder="1" applyAlignment="1">
      <alignment horizontal="center"/>
    </xf>
    <xf numFmtId="0" fontId="1" fillId="3" borderId="3" xfId="0" applyFont="1" applyFill="1" applyBorder="1" applyAlignment="1">
      <alignment horizontal="left"/>
    </xf>
    <xf numFmtId="165" fontId="1" fillId="0" borderId="10" xfId="0" applyNumberFormat="1" applyFont="1" applyBorder="1" applyAlignment="1">
      <alignment horizontal="center"/>
    </xf>
    <xf numFmtId="0" fontId="0" fillId="2" borderId="3" xfId="0" applyFill="1" applyBorder="1" applyAlignment="1">
      <alignment horizontal="left" vertical="top"/>
    </xf>
    <xf numFmtId="49" fontId="0" fillId="0" borderId="0" xfId="0" applyNumberFormat="1" applyAlignment="1">
      <alignment horizontal="center"/>
    </xf>
    <xf numFmtId="0" fontId="0" fillId="0" borderId="0" xfId="0" applyAlignment="1">
      <alignment horizontal="center"/>
    </xf>
    <xf numFmtId="0" fontId="0" fillId="3" borderId="13" xfId="0" applyFill="1" applyBorder="1" applyAlignment="1">
      <alignment/>
    </xf>
    <xf numFmtId="0" fontId="0" fillId="3" borderId="1" xfId="0" applyFill="1" applyBorder="1" applyAlignment="1">
      <alignment/>
    </xf>
    <xf numFmtId="0" fontId="0" fillId="3" borderId="22" xfId="0" applyFill="1" applyBorder="1" applyAlignment="1">
      <alignment/>
    </xf>
    <xf numFmtId="2" fontId="0" fillId="3" borderId="16" xfId="0" applyNumberFormat="1" applyFill="1" applyBorder="1" applyAlignment="1">
      <alignment horizontal="center"/>
    </xf>
    <xf numFmtId="2" fontId="1" fillId="3" borderId="25" xfId="0" applyNumberFormat="1" applyFont="1" applyFill="1" applyBorder="1" applyAlignment="1">
      <alignment horizontal="center"/>
    </xf>
    <xf numFmtId="2" fontId="1" fillId="6" borderId="25" xfId="0" applyNumberFormat="1" applyFont="1" applyFill="1" applyBorder="1" applyAlignment="1">
      <alignment horizontal="center" wrapText="1"/>
    </xf>
    <xf numFmtId="0" fontId="0" fillId="3" borderId="21" xfId="0" applyFill="1" applyBorder="1" applyAlignment="1">
      <alignment horizontal="right"/>
    </xf>
    <xf numFmtId="2" fontId="0" fillId="3" borderId="21" xfId="0" applyNumberFormat="1" applyFill="1" applyBorder="1" applyAlignment="1">
      <alignment horizontal="center"/>
    </xf>
    <xf numFmtId="9" fontId="0" fillId="3" borderId="21" xfId="0" applyNumberFormat="1" applyFill="1" applyBorder="1" applyAlignment="1">
      <alignment horizontal="center"/>
    </xf>
    <xf numFmtId="0" fontId="1" fillId="6" borderId="61" xfId="0" applyFont="1" applyFill="1" applyBorder="1" applyAlignment="1">
      <alignment horizontal="center" vertical="center"/>
    </xf>
    <xf numFmtId="2" fontId="1" fillId="6" borderId="43" xfId="0" applyNumberFormat="1" applyFont="1" applyFill="1" applyBorder="1" applyAlignment="1">
      <alignment horizontal="center" wrapText="1"/>
    </xf>
    <xf numFmtId="2" fontId="1" fillId="6" borderId="43" xfId="0" applyNumberFormat="1" applyFont="1" applyFill="1" applyBorder="1" applyAlignment="1">
      <alignment horizontal="center" vertical="center" wrapText="1"/>
    </xf>
    <xf numFmtId="2" fontId="1" fillId="6" borderId="44" xfId="0" applyNumberFormat="1" applyFont="1" applyFill="1" applyBorder="1" applyAlignment="1">
      <alignment horizontal="center" wrapText="1"/>
    </xf>
    <xf numFmtId="2" fontId="0" fillId="3" borderId="25" xfId="0" applyNumberFormat="1" applyFill="1" applyBorder="1" applyAlignment="1">
      <alignment horizontal="center"/>
    </xf>
    <xf numFmtId="2" fontId="0" fillId="3" borderId="62" xfId="0" applyNumberFormat="1" applyFill="1" applyBorder="1" applyAlignment="1">
      <alignment horizontal="center"/>
    </xf>
    <xf numFmtId="9" fontId="0" fillId="3" borderId="63" xfId="0" applyNumberFormat="1" applyFill="1" applyBorder="1" applyAlignment="1">
      <alignment horizontal="center"/>
    </xf>
    <xf numFmtId="2" fontId="0" fillId="3" borderId="63" xfId="0" applyNumberFormat="1" applyFill="1" applyBorder="1" applyAlignment="1">
      <alignment horizontal="center"/>
    </xf>
    <xf numFmtId="2" fontId="0" fillId="3" borderId="64" xfId="0" applyNumberFormat="1" applyFill="1" applyBorder="1" applyAlignment="1">
      <alignment horizontal="center"/>
    </xf>
    <xf numFmtId="2" fontId="0" fillId="3" borderId="31" xfId="0" applyNumberFormat="1" applyFill="1" applyBorder="1" applyAlignment="1">
      <alignment horizontal="center"/>
    </xf>
    <xf numFmtId="0" fontId="1" fillId="3" borderId="14" xfId="0" applyFont="1" applyFill="1" applyBorder="1" applyAlignment="1">
      <alignment/>
    </xf>
    <xf numFmtId="0" fontId="1" fillId="3" borderId="34" xfId="0" applyFont="1" applyFill="1" applyBorder="1" applyAlignment="1">
      <alignment/>
    </xf>
    <xf numFmtId="0" fontId="0" fillId="3" borderId="60" xfId="0" applyFill="1" applyBorder="1" applyAlignment="1">
      <alignment/>
    </xf>
    <xf numFmtId="2" fontId="0" fillId="3" borderId="38" xfId="0" applyNumberFormat="1" applyFill="1" applyBorder="1" applyAlignment="1">
      <alignment horizontal="center"/>
    </xf>
    <xf numFmtId="2" fontId="0" fillId="3" borderId="46" xfId="0" applyNumberFormat="1" applyFill="1" applyBorder="1" applyAlignment="1">
      <alignment horizontal="center"/>
    </xf>
    <xf numFmtId="9" fontId="0" fillId="3" borderId="50" xfId="0" applyNumberFormat="1" applyFill="1" applyBorder="1" applyAlignment="1">
      <alignment horizontal="center"/>
    </xf>
    <xf numFmtId="0" fontId="1" fillId="2" borderId="3" xfId="0" applyFont="1" applyFill="1" applyBorder="1" applyAlignment="1">
      <alignment horizontal="left" vertical="top"/>
    </xf>
    <xf numFmtId="2" fontId="1" fillId="3" borderId="50" xfId="0" applyNumberFormat="1" applyFont="1" applyFill="1" applyBorder="1" applyAlignment="1">
      <alignment horizontal="center"/>
    </xf>
    <xf numFmtId="2" fontId="1" fillId="3" borderId="49" xfId="0" applyNumberFormat="1" applyFont="1" applyFill="1" applyBorder="1" applyAlignment="1">
      <alignment horizontal="center"/>
    </xf>
    <xf numFmtId="0" fontId="1" fillId="3" borderId="65" xfId="0" applyFont="1" applyFill="1" applyBorder="1" applyAlignment="1">
      <alignment/>
    </xf>
    <xf numFmtId="0" fontId="0" fillId="3" borderId="30" xfId="0" applyFont="1" applyFill="1" applyBorder="1" applyAlignment="1">
      <alignment horizontal="left"/>
    </xf>
    <xf numFmtId="0" fontId="0" fillId="3" borderId="66" xfId="0" applyFont="1" applyFill="1" applyBorder="1" applyAlignment="1">
      <alignment horizontal="left"/>
    </xf>
    <xf numFmtId="0" fontId="8" fillId="0" borderId="6" xfId="0" applyFont="1" applyBorder="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52" xfId="0" applyFont="1" applyBorder="1" applyAlignment="1">
      <alignment horizontal="center" vertical="center"/>
    </xf>
    <xf numFmtId="0" fontId="0" fillId="0" borderId="52" xfId="0" applyBorder="1" applyAlignment="1">
      <alignment/>
    </xf>
    <xf numFmtId="0" fontId="0" fillId="0" borderId="16" xfId="0" applyBorder="1" applyAlignment="1">
      <alignment/>
    </xf>
    <xf numFmtId="0" fontId="0" fillId="0" borderId="0" xfId="0" applyBorder="1" applyAlignment="1">
      <alignment/>
    </xf>
    <xf numFmtId="0" fontId="0" fillId="0" borderId="1" xfId="0" applyBorder="1" applyAlignment="1">
      <alignment/>
    </xf>
    <xf numFmtId="0" fontId="0" fillId="0" borderId="22" xfId="0" applyBorder="1" applyAlignment="1">
      <alignment/>
    </xf>
    <xf numFmtId="0" fontId="8" fillId="0" borderId="6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70" xfId="0" applyFont="1" applyBorder="1" applyAlignment="1">
      <alignment vertical="center"/>
    </xf>
    <xf numFmtId="0" fontId="8" fillId="0" borderId="62"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8" fillId="0" borderId="22" xfId="0" applyFont="1" applyBorder="1" applyAlignment="1">
      <alignment vertical="center"/>
    </xf>
    <xf numFmtId="0" fontId="0" fillId="0" borderId="3"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25" xfId="0" applyBorder="1" applyAlignment="1">
      <alignment horizontal="center"/>
    </xf>
    <xf numFmtId="0" fontId="0" fillId="0" borderId="6" xfId="0" applyNumberFormat="1" applyBorder="1" applyAlignment="1">
      <alignment horizontal="center"/>
    </xf>
    <xf numFmtId="49" fontId="0" fillId="0" borderId="6" xfId="0" applyNumberFormat="1" applyBorder="1" applyAlignment="1">
      <alignment horizontal="center"/>
    </xf>
    <xf numFmtId="49" fontId="0" fillId="0" borderId="25" xfId="0" applyNumberFormat="1"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25" xfId="0" applyBorder="1" applyAlignment="1">
      <alignment/>
    </xf>
    <xf numFmtId="0" fontId="0" fillId="0" borderId="1" xfId="0" applyBorder="1" applyAlignment="1">
      <alignment horizontal="center"/>
    </xf>
    <xf numFmtId="0" fontId="0" fillId="0" borderId="6" xfId="0" applyNumberFormat="1" applyBorder="1" applyAlignment="1">
      <alignment/>
    </xf>
    <xf numFmtId="0" fontId="0" fillId="0" borderId="25" xfId="0" applyNumberFormat="1" applyBorder="1" applyAlignment="1">
      <alignment/>
    </xf>
    <xf numFmtId="0" fontId="0" fillId="0" borderId="1" xfId="0" applyNumberFormat="1" applyBorder="1" applyAlignment="1">
      <alignment horizontal="center"/>
    </xf>
    <xf numFmtId="0" fontId="0" fillId="0" borderId="2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28575</xdr:rowOff>
    </xdr:from>
    <xdr:to>
      <xdr:col>6</xdr:col>
      <xdr:colOff>428625</xdr:colOff>
      <xdr:row>21</xdr:row>
      <xdr:rowOff>28575</xdr:rowOff>
    </xdr:to>
    <xdr:sp>
      <xdr:nvSpPr>
        <xdr:cNvPr id="1" name="TextBox 1"/>
        <xdr:cNvSpPr txBox="1">
          <a:spLocks noChangeArrowheads="1"/>
        </xdr:cNvSpPr>
      </xdr:nvSpPr>
      <xdr:spPr>
        <a:xfrm>
          <a:off x="57150" y="581025"/>
          <a:ext cx="4029075"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RBSP EFW DFB Power Requirements Update (Ergun) 5/23/07</a:t>
          </a:r>
          <a:r>
            <a:rPr lang="en-US" cap="none" sz="800" b="0" i="0" u="none" baseline="0">
              <a:latin typeface="Arial"/>
              <a:ea typeface="Arial"/>
              <a:cs typeface="Arial"/>
            </a:rPr>
            <a:t>
The main difference between THEMIS and RBSP will be the continuous 
operation of the FFTs. THEMIS was ~0.9 W no FFT and 1.4 W with FFT. The 
cross spectral analysis will add some power (not much). Based on THEMIS 
with RBSP changes:
A+12: 16.5 mA; 198 mW  (Op amps)
A-12: 10.5 mA; 126 mW (Op amps)
A+5: 40 mA; 200 mW (A/D; fast Op amps)
A-5: 50 mA; 250 mW (A/D; fast Op amps)
D+5: 10 mA; 50 mW (Level shifters/ RAM not included yet).
D+3.3: 90mA 297 mW (Actel; RAM)
D+2; 250 mA; 500 mW (Actel core. +1.5V - could lower from 2V if tightly 
regulated)
The split between  D+3.3 and D+1.5 inside the ACTEL is unknown. We 
assume total power.
TOTAL: 1621 mW (REGULATED) Must add converter/regulator efficiencies.
Bob
5/23/07</a:t>
          </a:r>
          <a:r>
            <a:rPr lang="en-US" cap="none" sz="1000" b="0" i="0" u="none" baseline="0">
              <a:latin typeface="Arial"/>
              <a:ea typeface="Arial"/>
              <a:cs typeface="Arial"/>
            </a:rPr>
            <a:t>
</a:t>
          </a:r>
        </a:p>
      </xdr:txBody>
    </xdr:sp>
    <xdr:clientData/>
  </xdr:twoCellAnchor>
  <xdr:twoCellAnchor>
    <xdr:from>
      <xdr:col>0</xdr:col>
      <xdr:colOff>66675</xdr:colOff>
      <xdr:row>21</xdr:row>
      <xdr:rowOff>152400</xdr:rowOff>
    </xdr:from>
    <xdr:to>
      <xdr:col>6</xdr:col>
      <xdr:colOff>533400</xdr:colOff>
      <xdr:row>49</xdr:row>
      <xdr:rowOff>142875</xdr:rowOff>
    </xdr:to>
    <xdr:sp>
      <xdr:nvSpPr>
        <xdr:cNvPr id="2" name="TextBox 2"/>
        <xdr:cNvSpPr txBox="1">
          <a:spLocks noChangeArrowheads="1"/>
        </xdr:cNvSpPr>
      </xdr:nvSpPr>
      <xdr:spPr>
        <a:xfrm>
          <a:off x="66675" y="3619500"/>
          <a:ext cx="4124325" cy="452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Solid State Recorder</a:t>
          </a:r>
          <a:r>
            <a:rPr lang="en-US" cap="none" sz="1000" b="0" i="0" u="none" baseline="0">
              <a:latin typeface="Arial"/>
              <a:ea typeface="Arial"/>
              <a:cs typeface="Arial"/>
            </a:rPr>
            <a:t>
I reckon we can do the slbm for 0.5W. 
Here is the breakdown
32 32Gbit memories - 8 on at a time (switched), 7 in standby (210mW). 1 accessed (130mW). 340mW
1 Actel 85mW according to power calculation sheet from Actel running at 16MHz and half filled.
Switches, buffers, etc ~30mW (not sure how to estimate this).
All adds up to about 450mW. Add some margin = 0.5W
We could have less power by having more switches and lowering the number in standby.
However....
I'm leaning towards incorporating the slbm into the dcb card (which would mean simplifying the interface and one less actel). space wise the slbm could fit on one half of a 6U card - if we did that would we want to keep the slbm power budget separate - probably not. There are a number of unknowns associated with that that I'm working - where the pcb functions would fit and making the board vibe proof.
Michael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7.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baesystems.com/BAEProd/groups/public/documents/bae_publication/bae_pdf_eis_lp_prom.pdf" TargetMode="External" /><Relationship Id="rId2" Type="http://schemas.openxmlformats.org/officeDocument/2006/relationships/hyperlink" Target="http://www.maxwell.com/microelectronics/products/_components/memory/28LV010/description.html" TargetMode="External" /><Relationship Id="rId3" Type="http://schemas.openxmlformats.org/officeDocument/2006/relationships/hyperlink" Target="http://www.actel.com/products/milaero/rtaxs/default.aspx" TargetMode="External" /><Relationship Id="rId4" Type="http://schemas.openxmlformats.org/officeDocument/2006/relationships/hyperlink" Target="http://www.honeywell.com/sites/servlet/com.merx.npoint.servlets.DocumentServlet?docid=DC779DB21-BFD8-4896-C576-AAC548733FA3" TargetMode="External" /><Relationship Id="rId5" Type="http://schemas.openxmlformats.org/officeDocument/2006/relationships/hyperlink" Target="http://www.3d-plus.com/PDF/Memorymodule/SDRAM/MMSD08256808S-C_2.pdf" TargetMode="External" /><Relationship Id="rId6" Type="http://schemas.openxmlformats.org/officeDocument/2006/relationships/hyperlink" Target="http://www.3d-plus.com/PDF/Memorymodule/FLASH/MMFN08408808S-F_2.pdf" TargetMode="External" /><Relationship Id="rId7" Type="http://schemas.openxmlformats.org/officeDocument/2006/relationships/hyperlink" Target="http://focus.ti.com/lit/ds/symlink/sn54lvth162244.pdf" TargetMode="External" /><Relationship Id="rId8" Type="http://schemas.openxmlformats.org/officeDocument/2006/relationships/hyperlink" Target="http://www.linear.com/pc/productDetail.jsp?navId=H0,C1,C1155,C1001,C1158,P1629" TargetMode="External" /><Relationship Id="rId9" Type="http://schemas.openxmlformats.org/officeDocument/2006/relationships/hyperlink" Target="http://www.ams.aeroflex.com/ProductFiles/DataSheets/LVDS/LVDSReceiver3v.pdf" TargetMode="External" /><Relationship Id="rId10" Type="http://schemas.openxmlformats.org/officeDocument/2006/relationships/hyperlink" Target="http://www.ams.aeroflex.com/ProductFiles/DataSheets/LVDS/LVDSDriver3V.pdf" TargetMode="External" /><Relationship Id="rId11" Type="http://schemas.openxmlformats.org/officeDocument/2006/relationships/hyperlink" Target="http://www.intersil.com/cda/deviceinfo/0,0,HS-508BRH,0.htm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baesystems.com/BAEProd/groups/public/documents/bae_publication/bae_pdf_eis_lp_prom.pdf" TargetMode="External" /><Relationship Id="rId2" Type="http://schemas.openxmlformats.org/officeDocument/2006/relationships/hyperlink" Target="http://www.maxwell.com/microelectronics/products/_components/memory/28LV010/description.html" TargetMode="External" /><Relationship Id="rId3" Type="http://schemas.openxmlformats.org/officeDocument/2006/relationships/hyperlink" Target="http://www.actel.com/products/milaero/rtaxs/default.aspx" TargetMode="External" /><Relationship Id="rId4" Type="http://schemas.openxmlformats.org/officeDocument/2006/relationships/hyperlink" Target="http://www.honeywell.com/sites/servlet/com.merx.npoint.servlets.DocumentServlet?docid=DC779DB21-BFD8-4896-C576-AAC548733FA3" TargetMode="External" /><Relationship Id="rId5" Type="http://schemas.openxmlformats.org/officeDocument/2006/relationships/hyperlink" Target="http://www.3d-plus.com/PDF/Memorymodule/SDRAM/MMSD08256808S-C_2.pdf" TargetMode="External" /><Relationship Id="rId6" Type="http://schemas.openxmlformats.org/officeDocument/2006/relationships/hyperlink" Target="http://www.3d-plus.com/PDF/Memorymodule/FLASH/MMFN08408808S-F_2.pdf" TargetMode="External" /><Relationship Id="rId7" Type="http://schemas.openxmlformats.org/officeDocument/2006/relationships/hyperlink" Target="http://focus.ti.com/lit/ds/symlink/sn54lvth162244.pdf" TargetMode="External" /><Relationship Id="rId8" Type="http://schemas.openxmlformats.org/officeDocument/2006/relationships/hyperlink" Target="http://www.linear.com/pc/productDetail.jsp?navId=H0,C1,C1155,C1001,C1158,P1629" TargetMode="External" /><Relationship Id="rId9" Type="http://schemas.openxmlformats.org/officeDocument/2006/relationships/hyperlink" Target="http://www.ams.aeroflex.com/ProductFiles/DataSheets/LVDS/LVDSReceiver3v.pdf" TargetMode="External" /><Relationship Id="rId10" Type="http://schemas.openxmlformats.org/officeDocument/2006/relationships/hyperlink" Target="http://www.ams.aeroflex.com/ProductFiles/DataSheets/LVDS/LVDSDriver3V.pdf" TargetMode="External" /><Relationship Id="rId11" Type="http://schemas.openxmlformats.org/officeDocument/2006/relationships/hyperlink" Target="http://www.intersil.com/cda/deviceinfo/0,0,HS-508BRH,0.html"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8"/>
  <sheetViews>
    <sheetView tabSelected="1" workbookViewId="0" topLeftCell="A1">
      <selection activeCell="A5" sqref="A5"/>
    </sheetView>
  </sheetViews>
  <sheetFormatPr defaultColWidth="9.140625" defaultRowHeight="12.75"/>
  <cols>
    <col min="1" max="1" width="13.28125" style="0" customWidth="1"/>
    <col min="2" max="7" width="10.140625" style="0" customWidth="1"/>
    <col min="8" max="8" width="10.28125" style="0" customWidth="1"/>
  </cols>
  <sheetData>
    <row r="1" spans="1:8" s="18" customFormat="1" ht="18">
      <c r="A1" s="18" t="s">
        <v>15</v>
      </c>
      <c r="H1" s="18" t="s">
        <v>16</v>
      </c>
    </row>
    <row r="3" spans="1:9" ht="12.75">
      <c r="A3" s="1" t="s">
        <v>4</v>
      </c>
      <c r="B3" s="13"/>
      <c r="C3" s="13"/>
      <c r="D3" s="13"/>
      <c r="E3" s="13"/>
      <c r="F3" s="13"/>
      <c r="G3" s="13"/>
      <c r="H3" s="16"/>
      <c r="I3" s="15"/>
    </row>
    <row r="4" spans="1:9" ht="13.5" thickBot="1">
      <c r="A4" s="1"/>
      <c r="B4" s="13"/>
      <c r="C4" s="13"/>
      <c r="D4" s="13"/>
      <c r="E4" s="13"/>
      <c r="F4" s="13"/>
      <c r="G4" s="13"/>
      <c r="H4" s="16"/>
      <c r="I4" s="15"/>
    </row>
    <row r="5" spans="1:11" ht="57.75" customHeight="1" thickBot="1">
      <c r="A5" s="402" t="s">
        <v>0</v>
      </c>
      <c r="B5" s="403" t="s">
        <v>395</v>
      </c>
      <c r="C5" s="403" t="s">
        <v>396</v>
      </c>
      <c r="D5" s="404" t="s">
        <v>334</v>
      </c>
      <c r="E5" s="403" t="s">
        <v>132</v>
      </c>
      <c r="F5" s="405" t="s">
        <v>19</v>
      </c>
      <c r="G5" s="398" t="s">
        <v>20</v>
      </c>
      <c r="H5" s="16"/>
      <c r="I5" s="32"/>
      <c r="J5" s="8" t="s">
        <v>25</v>
      </c>
      <c r="K5" s="7"/>
    </row>
    <row r="6" spans="1:11" ht="12.75" hidden="1">
      <c r="A6" s="399" t="s">
        <v>5</v>
      </c>
      <c r="B6" s="400">
        <f>'Detail 2010-09-17'!E15</f>
        <v>1.9029999999999996</v>
      </c>
      <c r="C6" s="400"/>
      <c r="D6" s="401">
        <f aca="true" t="shared" si="0" ref="D6:D13">(E6-B6)/B6</f>
        <v>-0.027850761954807936</v>
      </c>
      <c r="E6" s="400">
        <v>1.85</v>
      </c>
      <c r="F6" s="400"/>
      <c r="G6" s="347">
        <v>0</v>
      </c>
      <c r="H6" s="16"/>
      <c r="I6" s="28"/>
      <c r="J6" s="19" t="s">
        <v>368</v>
      </c>
      <c r="K6" s="13"/>
    </row>
    <row r="7" spans="1:11" ht="12.75" hidden="1">
      <c r="A7" s="346" t="s">
        <v>6</v>
      </c>
      <c r="B7" s="347">
        <f>'Detail 2010-09-17'!E14</f>
        <v>1.315536</v>
      </c>
      <c r="C7" s="347"/>
      <c r="D7" s="348">
        <f t="shared" si="0"/>
        <v>0.38984223920896105</v>
      </c>
      <c r="E7" s="347">
        <v>1.8283874999999998</v>
      </c>
      <c r="F7" s="347"/>
      <c r="G7" s="347">
        <v>0</v>
      </c>
      <c r="H7" s="16"/>
      <c r="I7" s="28"/>
      <c r="J7" s="19" t="s">
        <v>364</v>
      </c>
      <c r="K7" s="13"/>
    </row>
    <row r="8" spans="1:11" ht="12.75" hidden="1">
      <c r="A8" s="346" t="s">
        <v>359</v>
      </c>
      <c r="B8" s="347">
        <f>'Detail 2010-09-17'!E18</f>
        <v>0.9405000000000002</v>
      </c>
      <c r="C8" s="347"/>
      <c r="D8" s="348">
        <f t="shared" si="0"/>
        <v>1.2222222222222217</v>
      </c>
      <c r="E8" s="347">
        <v>2.09</v>
      </c>
      <c r="F8" s="347"/>
      <c r="G8" s="347">
        <v>0</v>
      </c>
      <c r="H8" s="16"/>
      <c r="I8" s="28"/>
      <c r="J8" s="19" t="s">
        <v>364</v>
      </c>
      <c r="K8" s="13"/>
    </row>
    <row r="9" spans="1:11" ht="12.75" hidden="1">
      <c r="A9" s="346" t="s">
        <v>378</v>
      </c>
      <c r="B9" s="347">
        <f>'Detail 2010-09-17'!I19+'Detail 2010-09-17'!E16</f>
        <v>3.9385621199999994</v>
      </c>
      <c r="C9" s="347"/>
      <c r="D9" s="348">
        <f t="shared" si="0"/>
        <v>0.14082100017759844</v>
      </c>
      <c r="E9" s="347">
        <v>4.493194377000002</v>
      </c>
      <c r="F9" s="347"/>
      <c r="G9" s="347">
        <v>0</v>
      </c>
      <c r="H9" s="16"/>
      <c r="I9" s="28"/>
      <c r="J9" s="19" t="s">
        <v>365</v>
      </c>
      <c r="K9" s="13"/>
    </row>
    <row r="10" spans="1:11" ht="12.75" hidden="1">
      <c r="A10" s="346" t="s">
        <v>379</v>
      </c>
      <c r="B10" s="347">
        <f>'Detail 2010-09-17'!I20+'Detail 2010-09-17'!E16</f>
        <v>3.863464079999999</v>
      </c>
      <c r="C10" s="347"/>
      <c r="D10" s="348">
        <f t="shared" si="0"/>
        <v>0.1629962862240466</v>
      </c>
      <c r="E10" s="347">
        <v>4.493194377000002</v>
      </c>
      <c r="F10" s="347"/>
      <c r="G10" s="347"/>
      <c r="H10" s="16"/>
      <c r="I10" s="28"/>
      <c r="J10" s="19"/>
      <c r="K10" s="13"/>
    </row>
    <row r="11" spans="1:11" ht="12.75" hidden="1">
      <c r="A11" s="346" t="s">
        <v>380</v>
      </c>
      <c r="B11" s="347">
        <f>'Detail 2010-09-17'!I21+'Detail 2010-09-17'!E16</f>
        <v>4.063725519999999</v>
      </c>
      <c r="C11" s="347"/>
      <c r="D11" s="348">
        <f t="shared" si="0"/>
        <v>0.10568352977737594</v>
      </c>
      <c r="E11" s="347">
        <v>4.493194377000002</v>
      </c>
      <c r="F11" s="347"/>
      <c r="G11" s="347"/>
      <c r="H11" s="16"/>
      <c r="I11" s="28"/>
      <c r="J11" s="19"/>
      <c r="K11" s="13"/>
    </row>
    <row r="12" spans="1:11" ht="12.75" hidden="1">
      <c r="A12" s="346" t="s">
        <v>381</v>
      </c>
      <c r="B12" s="347">
        <f>'Detail 2010-09-17'!I22+'Detail 2010-09-17'!E16</f>
        <v>4.2639869599999995</v>
      </c>
      <c r="C12" s="347"/>
      <c r="D12" s="348">
        <f t="shared" si="0"/>
        <v>0.05375424905145636</v>
      </c>
      <c r="E12" s="347">
        <v>4.493194377000002</v>
      </c>
      <c r="F12" s="347"/>
      <c r="G12" s="347"/>
      <c r="H12" s="16"/>
      <c r="I12" s="28"/>
      <c r="J12" s="19"/>
      <c r="K12" s="13"/>
    </row>
    <row r="13" spans="1:11" ht="12.75" hidden="1">
      <c r="A13" s="349" t="s">
        <v>31</v>
      </c>
      <c r="B13" s="350">
        <f>SUM(B6:B9)</f>
        <v>8.097598119999999</v>
      </c>
      <c r="C13" s="350"/>
      <c r="D13" s="348">
        <f t="shared" si="0"/>
        <v>0.26723773209431667</v>
      </c>
      <c r="E13" s="350">
        <f>SUM(E6:E9)</f>
        <v>10.261581877000001</v>
      </c>
      <c r="F13" s="347">
        <f>'Detail 2009-04-03'!C28</f>
        <v>1.0533181818181818</v>
      </c>
      <c r="G13" s="350"/>
      <c r="H13" s="16"/>
      <c r="I13" s="28"/>
      <c r="J13" s="19"/>
      <c r="K13" s="13"/>
    </row>
    <row r="14" spans="1:11" ht="12.75" hidden="1">
      <c r="A14" s="349" t="s">
        <v>383</v>
      </c>
      <c r="B14" s="350">
        <f>SUM($B$6:$B$8)+B10</f>
        <v>8.022500079999999</v>
      </c>
      <c r="C14" s="350"/>
      <c r="D14" s="348"/>
      <c r="E14" s="350"/>
      <c r="F14" s="347"/>
      <c r="G14" s="350"/>
      <c r="H14" s="16"/>
      <c r="I14" s="28"/>
      <c r="J14" s="19"/>
      <c r="K14" s="13"/>
    </row>
    <row r="15" spans="1:11" ht="12.75" hidden="1">
      <c r="A15" s="349" t="s">
        <v>384</v>
      </c>
      <c r="B15" s="350">
        <f>SUM($B$6:$B$8)+B11</f>
        <v>8.222761519999999</v>
      </c>
      <c r="C15" s="350"/>
      <c r="D15" s="348"/>
      <c r="E15" s="350"/>
      <c r="F15" s="347"/>
      <c r="G15" s="350"/>
      <c r="H15" s="16"/>
      <c r="I15" s="28"/>
      <c r="J15" s="19"/>
      <c r="K15" s="13"/>
    </row>
    <row r="16" spans="1:11" ht="12.75" hidden="1">
      <c r="A16" s="349" t="s">
        <v>385</v>
      </c>
      <c r="B16" s="350">
        <f>SUM($B$6:$B$8)+B12</f>
        <v>8.423022959999999</v>
      </c>
      <c r="C16" s="350"/>
      <c r="D16" s="348"/>
      <c r="E16" s="350"/>
      <c r="F16" s="347"/>
      <c r="G16" s="350"/>
      <c r="H16" s="16"/>
      <c r="I16" s="28"/>
      <c r="J16" s="19"/>
      <c r="K16" s="13"/>
    </row>
    <row r="17" spans="1:11" ht="12.75" hidden="1">
      <c r="A17" s="349" t="s">
        <v>22</v>
      </c>
      <c r="B17" s="347">
        <f>SUM('Detail 2010-04-08'!E7:E10)</f>
        <v>0.48</v>
      </c>
      <c r="C17" s="347"/>
      <c r="D17" s="348">
        <f>(E17-B17)/B17</f>
        <v>0.25</v>
      </c>
      <c r="E17" s="347">
        <v>0.6</v>
      </c>
      <c r="F17" s="347">
        <v>2</v>
      </c>
      <c r="G17" s="347">
        <v>0</v>
      </c>
      <c r="H17" s="16"/>
      <c r="I17" s="28"/>
      <c r="J17" s="19" t="s">
        <v>366</v>
      </c>
      <c r="K17" s="13"/>
    </row>
    <row r="18" spans="1:11" ht="12.75" hidden="1">
      <c r="A18" s="385" t="s">
        <v>23</v>
      </c>
      <c r="B18" s="386">
        <f>SUM('Detail 2010-04-08'!E11:E12)</f>
        <v>0.24</v>
      </c>
      <c r="C18" s="386"/>
      <c r="D18" s="387">
        <f>(E18-B18)/B18</f>
        <v>0.25</v>
      </c>
      <c r="E18" s="386">
        <v>0.3</v>
      </c>
      <c r="F18" s="386">
        <v>2.25</v>
      </c>
      <c r="G18" s="386">
        <v>0</v>
      </c>
      <c r="H18" s="16"/>
      <c r="I18" s="28"/>
      <c r="J18" s="19" t="s">
        <v>324</v>
      </c>
      <c r="K18" s="13"/>
    </row>
    <row r="19" spans="1:11" ht="12.75">
      <c r="A19" s="421" t="s">
        <v>36</v>
      </c>
      <c r="B19" s="407"/>
      <c r="C19" s="407"/>
      <c r="D19" s="408"/>
      <c r="E19" s="409"/>
      <c r="F19" s="410"/>
      <c r="G19" s="396"/>
      <c r="H19" s="16"/>
      <c r="I19" s="28"/>
      <c r="J19" s="19"/>
      <c r="K19" s="13"/>
    </row>
    <row r="20" spans="1:17" ht="12.75">
      <c r="A20" s="422" t="s">
        <v>387</v>
      </c>
      <c r="B20" s="397">
        <v>10.5</v>
      </c>
      <c r="C20" s="397">
        <v>9.7</v>
      </c>
      <c r="D20" s="348">
        <f>(E20-B20)/B20</f>
        <v>0.47619047619047616</v>
      </c>
      <c r="E20" s="350">
        <v>15.5</v>
      </c>
      <c r="F20" s="411"/>
      <c r="G20" s="406"/>
      <c r="H20" s="16"/>
      <c r="I20" s="28"/>
      <c r="J20" s="15"/>
      <c r="K20" s="13"/>
      <c r="Q20">
        <f>11.16/30</f>
        <v>0.372</v>
      </c>
    </row>
    <row r="21" spans="1:11" ht="12.75">
      <c r="A21" s="422" t="s">
        <v>388</v>
      </c>
      <c r="B21" s="397">
        <v>10.8</v>
      </c>
      <c r="C21" s="397">
        <v>10.2</v>
      </c>
      <c r="D21" s="348">
        <f>(E21-B21)/B21</f>
        <v>0.43518518518518506</v>
      </c>
      <c r="E21" s="350">
        <v>15.5</v>
      </c>
      <c r="F21" s="411"/>
      <c r="G21" s="406"/>
      <c r="H21" s="16"/>
      <c r="I21" s="28"/>
      <c r="J21" s="15"/>
      <c r="K21" s="13"/>
    </row>
    <row r="22" spans="1:11" ht="13.5" thickBot="1">
      <c r="A22" s="423" t="s">
        <v>389</v>
      </c>
      <c r="B22" s="420">
        <v>11</v>
      </c>
      <c r="C22" s="420">
        <v>10.2</v>
      </c>
      <c r="D22" s="417">
        <f>(E22-B22)/B22</f>
        <v>0.4090909090909091</v>
      </c>
      <c r="E22" s="419">
        <v>15.5</v>
      </c>
      <c r="F22" s="415"/>
      <c r="G22" s="406"/>
      <c r="H22" s="16"/>
      <c r="I22" s="28"/>
      <c r="J22" s="15"/>
      <c r="K22" s="13"/>
    </row>
    <row r="23" spans="1:9" ht="12.75">
      <c r="A23" s="412" t="s">
        <v>393</v>
      </c>
      <c r="B23" s="394"/>
      <c r="C23" s="394"/>
      <c r="D23" s="394"/>
      <c r="E23" s="395"/>
      <c r="F23" s="416">
        <v>2</v>
      </c>
      <c r="G23" s="393"/>
      <c r="H23" s="16"/>
      <c r="I23" s="31"/>
    </row>
    <row r="24" spans="1:9" ht="13.5" thickBot="1">
      <c r="A24" s="413" t="s">
        <v>394</v>
      </c>
      <c r="B24" s="414"/>
      <c r="C24" s="414"/>
      <c r="D24" s="414"/>
      <c r="E24" s="414"/>
      <c r="F24" s="415">
        <v>2.25</v>
      </c>
      <c r="G24" s="395"/>
      <c r="I24" s="31"/>
    </row>
    <row r="25" ht="12.75">
      <c r="A25" t="s">
        <v>35</v>
      </c>
    </row>
    <row r="26" ht="12.75">
      <c r="A26" t="s">
        <v>329</v>
      </c>
    </row>
    <row r="27" ht="12.75">
      <c r="A27" t="s">
        <v>360</v>
      </c>
    </row>
    <row r="28" ht="12.75">
      <c r="A28" t="s">
        <v>328</v>
      </c>
    </row>
    <row r="29" ht="12.75">
      <c r="A29" s="282" t="s">
        <v>269</v>
      </c>
    </row>
    <row r="30" ht="12.75">
      <c r="A30" s="282" t="s">
        <v>266</v>
      </c>
    </row>
    <row r="36" ht="12.75">
      <c r="A36" t="s">
        <v>391</v>
      </c>
    </row>
    <row r="37" ht="12.75">
      <c r="A37" t="s">
        <v>392</v>
      </c>
    </row>
    <row r="48" ht="12.75">
      <c r="E48" s="2"/>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10.xml><?xml version="1.0" encoding="utf-8"?>
<worksheet xmlns="http://schemas.openxmlformats.org/spreadsheetml/2006/main" xmlns:r="http://schemas.openxmlformats.org/officeDocument/2006/relationships">
  <dimension ref="A1:J39"/>
  <sheetViews>
    <sheetView workbookViewId="0" topLeftCell="A1">
      <selection activeCell="B13" sqref="B13"/>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355" t="s">
        <v>0</v>
      </c>
      <c r="B5" s="356" t="s">
        <v>17</v>
      </c>
      <c r="C5" s="357" t="s">
        <v>334</v>
      </c>
      <c r="D5" s="356" t="s">
        <v>132</v>
      </c>
      <c r="E5" s="356" t="s">
        <v>19</v>
      </c>
      <c r="F5" s="356" t="s">
        <v>20</v>
      </c>
      <c r="G5" s="16"/>
      <c r="H5" s="32"/>
      <c r="I5" s="8" t="s">
        <v>25</v>
      </c>
      <c r="J5" s="7"/>
    </row>
    <row r="6" spans="1:10" ht="12.75">
      <c r="A6" s="346" t="s">
        <v>5</v>
      </c>
      <c r="B6" s="347">
        <f>'Detail 2009-09-11'!E15</f>
        <v>1.749</v>
      </c>
      <c r="C6" s="348">
        <f aca="true" t="shared" si="0" ref="C6:C13">(D6-B6)/B6</f>
        <v>0.05774728416237849</v>
      </c>
      <c r="D6" s="347">
        <v>1.85</v>
      </c>
      <c r="E6" s="347"/>
      <c r="F6" s="347">
        <v>0</v>
      </c>
      <c r="G6" s="16"/>
      <c r="H6" s="28"/>
      <c r="I6" s="19" t="s">
        <v>364</v>
      </c>
      <c r="J6" s="13"/>
    </row>
    <row r="7" spans="1:10" ht="12.75">
      <c r="A7" s="346" t="s">
        <v>6</v>
      </c>
      <c r="B7" s="347">
        <f>'Detail 2009-09-11'!E14</f>
        <v>1.504536</v>
      </c>
      <c r="C7" s="348">
        <f t="shared" si="0"/>
        <v>0.21525008374674964</v>
      </c>
      <c r="D7" s="347">
        <v>1.8283874999999998</v>
      </c>
      <c r="E7" s="347"/>
      <c r="F7" s="347">
        <v>0</v>
      </c>
      <c r="G7" s="16"/>
      <c r="H7" s="28"/>
      <c r="I7" s="19" t="s">
        <v>364</v>
      </c>
      <c r="J7" s="13"/>
    </row>
    <row r="8" spans="1:10" ht="12.75">
      <c r="A8" s="346" t="s">
        <v>359</v>
      </c>
      <c r="B8" s="347">
        <f>'Detail 2009-09-11'!E18</f>
        <v>1.2375791999999999</v>
      </c>
      <c r="C8" s="348">
        <f t="shared" si="0"/>
        <v>0.6887808069172462</v>
      </c>
      <c r="D8" s="347">
        <v>2.09</v>
      </c>
      <c r="E8" s="347"/>
      <c r="F8" s="347">
        <v>0</v>
      </c>
      <c r="G8" s="16"/>
      <c r="H8" s="28"/>
      <c r="I8" s="19" t="s">
        <v>364</v>
      </c>
      <c r="J8" s="13"/>
    </row>
    <row r="9" spans="1:10" ht="12.75">
      <c r="A9" s="346" t="s">
        <v>8</v>
      </c>
      <c r="B9" s="347">
        <f>'Detail 2009-09-11'!E19+'Detail 2009-09-11'!E16</f>
        <v>5.118354453052632</v>
      </c>
      <c r="C9" s="348">
        <f t="shared" si="0"/>
        <v>-0.12214083291550454</v>
      </c>
      <c r="D9" s="347">
        <v>4.493194377000002</v>
      </c>
      <c r="E9" s="347"/>
      <c r="F9" s="347">
        <v>0</v>
      </c>
      <c r="G9" s="16"/>
      <c r="H9" s="28"/>
      <c r="I9" s="19" t="s">
        <v>365</v>
      </c>
      <c r="J9" s="13"/>
    </row>
    <row r="10" spans="1:10" ht="12.75">
      <c r="A10" s="349" t="s">
        <v>31</v>
      </c>
      <c r="B10" s="350">
        <f>SUM(B6:B9)</f>
        <v>9.609469653052631</v>
      </c>
      <c r="C10" s="348">
        <f t="shared" si="0"/>
        <v>0.06786141665374987</v>
      </c>
      <c r="D10" s="350">
        <f>SUM(D6:D9)</f>
        <v>10.261581877000001</v>
      </c>
      <c r="E10" s="347">
        <f>'Detail 2009-04-03'!C28</f>
        <v>1.0533181818181818</v>
      </c>
      <c r="F10" s="350"/>
      <c r="G10" s="16"/>
      <c r="H10" s="28"/>
      <c r="I10" s="19"/>
      <c r="J10" s="13"/>
    </row>
    <row r="11" spans="1:10" ht="12.75">
      <c r="A11" s="349" t="s">
        <v>22</v>
      </c>
      <c r="B11" s="347">
        <f>SUM('Detail 2009-09-11'!E7:E10)</f>
        <v>0.48</v>
      </c>
      <c r="C11" s="348">
        <f t="shared" si="0"/>
        <v>0.25</v>
      </c>
      <c r="D11" s="347">
        <v>0.6</v>
      </c>
      <c r="E11" s="347">
        <v>2</v>
      </c>
      <c r="F11" s="347">
        <v>0</v>
      </c>
      <c r="G11" s="16"/>
      <c r="H11" s="28"/>
      <c r="I11" s="19" t="s">
        <v>366</v>
      </c>
      <c r="J11" s="13"/>
    </row>
    <row r="12" spans="1:10" ht="13.5" thickBot="1">
      <c r="A12" s="349" t="s">
        <v>23</v>
      </c>
      <c r="B12" s="347">
        <f>SUM('Detail 2009-09-11'!E11:E12)</f>
        <v>0.24</v>
      </c>
      <c r="C12" s="348">
        <f t="shared" si="0"/>
        <v>0.25</v>
      </c>
      <c r="D12" s="347">
        <v>0.3</v>
      </c>
      <c r="E12" s="347">
        <v>2.25</v>
      </c>
      <c r="F12" s="347">
        <v>0</v>
      </c>
      <c r="G12" s="16"/>
      <c r="H12" s="28"/>
      <c r="I12" s="19" t="s">
        <v>324</v>
      </c>
      <c r="J12" s="13"/>
    </row>
    <row r="13" spans="1:10" ht="13.5" thickBot="1">
      <c r="A13" s="351" t="s">
        <v>2</v>
      </c>
      <c r="B13" s="352">
        <f>SUM(B10:B12)</f>
        <v>10.329469653052632</v>
      </c>
      <c r="C13" s="353">
        <f t="shared" si="0"/>
        <v>0.0803293859923627</v>
      </c>
      <c r="D13" s="352">
        <v>11.159229607909094</v>
      </c>
      <c r="E13" s="354"/>
      <c r="F13" s="354"/>
      <c r="G13" s="16"/>
      <c r="H13" s="187"/>
      <c r="I13" s="15"/>
      <c r="J13" s="13"/>
    </row>
    <row r="14" spans="7:8" ht="13.5" thickTop="1">
      <c r="G14" s="16"/>
      <c r="H14" s="31"/>
    </row>
    <row r="15" spans="1:8" ht="12.75">
      <c r="A15" t="s">
        <v>367</v>
      </c>
      <c r="H15" s="31"/>
    </row>
    <row r="16" ht="12.75">
      <c r="A16" t="s">
        <v>35</v>
      </c>
    </row>
    <row r="17" ht="12.75">
      <c r="A17" t="s">
        <v>329</v>
      </c>
    </row>
    <row r="18" ht="12.75">
      <c r="A18" t="s">
        <v>360</v>
      </c>
    </row>
    <row r="19" ht="12.75">
      <c r="A19" t="s">
        <v>328</v>
      </c>
    </row>
    <row r="20" ht="12.75">
      <c r="A20" s="282" t="s">
        <v>269</v>
      </c>
    </row>
    <row r="21" ht="12.75">
      <c r="A21" s="282" t="s">
        <v>266</v>
      </c>
    </row>
    <row r="39" ht="12.75">
      <c r="D39" s="2"/>
    </row>
  </sheetData>
  <printOptions/>
  <pageMargins left="0.75" right="0.75" top="1" bottom="1" header="0.5" footer="0.5"/>
  <pageSetup horizontalDpi="600" verticalDpi="600" orientation="landscape" r:id="rId1"/>
  <headerFooter alignWithMargins="0">
    <oddFooter>&amp;L&amp;D &amp;T&amp;R&amp;F &amp;A</oddFooter>
  </headerFooter>
  <ignoredErrors>
    <ignoredError sqref="C10" formula="1"/>
  </ignoredErrors>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AE56"/>
  <sheetViews>
    <sheetView zoomScaleSheetLayoutView="100" workbookViewId="0" topLeftCell="A1">
      <pane xSplit="1" ySplit="5" topLeftCell="I6" activePane="bottomRight" state="frozen"/>
      <selection pane="topLeft" activeCell="A1" sqref="A1"/>
      <selection pane="topRight" activeCell="B1" sqref="B1"/>
      <selection pane="bottomLeft" activeCell="A6" sqref="A6"/>
      <selection pane="bottomRight" activeCell="O31" sqref="O31"/>
    </sheetView>
  </sheetViews>
  <sheetFormatPr defaultColWidth="9.140625" defaultRowHeight="12.75" outlineLevelRow="1"/>
  <cols>
    <col min="1" max="1" width="23.28125" style="0" customWidth="1"/>
    <col min="2" max="2" width="9.7109375" style="0" customWidth="1"/>
    <col min="3" max="3" width="10.00390625" style="37" customWidth="1"/>
    <col min="4" max="4" width="9.710937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359"/>
      <c r="AC5" s="360"/>
    </row>
    <row r="6" spans="1:29" s="53" customFormat="1" ht="15.75">
      <c r="A6" s="72" t="s">
        <v>66</v>
      </c>
      <c r="B6" s="73"/>
      <c r="C6" s="73"/>
      <c r="D6" s="74" t="str">
        <f aca="true" t="shared" si="0" ref="D6:D19">IF($C6="Concept",0.25,IF($C6="Design",0.15,IF($C6="Prior",0.075,IF($C6="Fab",0.04,IF($C6="Flight",0.02," ")))))</f>
        <v> </v>
      </c>
      <c r="E6" s="119">
        <f>SUM(E7:E12)</f>
        <v>0.72</v>
      </c>
      <c r="F6" s="120">
        <f aca="true" t="shared" si="1" ref="F6:F18">(G6-E6)/E6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361"/>
      <c r="AC6" s="362"/>
    </row>
    <row r="7" spans="1:29" ht="12.75" outlineLevel="1">
      <c r="A7" s="64" t="s">
        <v>67</v>
      </c>
      <c r="B7" s="65" t="s">
        <v>13</v>
      </c>
      <c r="C7" s="30" t="s">
        <v>64</v>
      </c>
      <c r="D7" s="342">
        <f t="shared" si="0"/>
        <v>0.15</v>
      </c>
      <c r="E7" s="67">
        <f aca="true" t="shared" si="2" ref="E7:E12">I7</f>
        <v>0.12</v>
      </c>
      <c r="F7" s="68">
        <f t="shared" si="1"/>
        <v>0.25</v>
      </c>
      <c r="G7" s="118">
        <f aca="true" t="shared" si="3" ref="G7:G12">0.15</f>
        <v>0.15</v>
      </c>
      <c r="H7" s="70"/>
      <c r="I7" s="173">
        <f aca="true" t="shared" si="4" ref="I7:I12">J7*J$21+K7*K$21+L7*L$21+M7*M$21+N7*N$21+O7*O$21+P7*P$21+Q7*Q$21+R7*R$21+S7*S$21+T7*T$21+U7*U$21+V7*V$21+W7*W$21+X7*X$21+Y7*Y$21+Z7*Z$21+AA7*AA$21</f>
        <v>0.12</v>
      </c>
      <c r="J7" s="64"/>
      <c r="K7" s="56"/>
      <c r="L7" s="56"/>
      <c r="M7" s="56"/>
      <c r="N7" s="56"/>
      <c r="O7" s="56"/>
      <c r="P7" s="254"/>
      <c r="Q7" s="88"/>
      <c r="R7" s="86"/>
      <c r="S7" s="56"/>
      <c r="T7" s="56"/>
      <c r="U7" s="56"/>
      <c r="V7" s="57">
        <v>0.004</v>
      </c>
      <c r="W7" s="57"/>
      <c r="X7" s="57"/>
      <c r="Y7" s="57"/>
      <c r="Z7" s="57"/>
      <c r="AA7" s="155"/>
      <c r="AB7" s="363"/>
      <c r="AC7" s="364"/>
    </row>
    <row r="8" spans="1:29" ht="12.75" outlineLevel="1">
      <c r="A8" s="64" t="s">
        <v>68</v>
      </c>
      <c r="B8" s="65" t="s">
        <v>13</v>
      </c>
      <c r="C8" s="30" t="s">
        <v>64</v>
      </c>
      <c r="D8" s="342">
        <f t="shared" si="0"/>
        <v>0.15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363"/>
      <c r="AC8" s="364"/>
    </row>
    <row r="9" spans="1:29" ht="12.75" outlineLevel="1">
      <c r="A9" s="64" t="s">
        <v>69</v>
      </c>
      <c r="B9" s="65" t="s">
        <v>13</v>
      </c>
      <c r="C9" s="30" t="s">
        <v>64</v>
      </c>
      <c r="D9" s="342">
        <f t="shared" si="0"/>
        <v>0.15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363"/>
      <c r="AC9" s="364"/>
    </row>
    <row r="10" spans="1:29" ht="12.75" outlineLevel="1">
      <c r="A10" s="64" t="s">
        <v>70</v>
      </c>
      <c r="B10" s="65" t="s">
        <v>13</v>
      </c>
      <c r="C10" s="30" t="s">
        <v>64</v>
      </c>
      <c r="D10" s="342">
        <f t="shared" si="0"/>
        <v>0.15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363"/>
      <c r="AC10" s="364"/>
    </row>
    <row r="11" spans="1:29" ht="12.75" outlineLevel="1">
      <c r="A11" s="64" t="s">
        <v>71</v>
      </c>
      <c r="B11" s="65" t="s">
        <v>13</v>
      </c>
      <c r="C11" s="30" t="s">
        <v>64</v>
      </c>
      <c r="D11" s="342">
        <f t="shared" si="0"/>
        <v>0.15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363"/>
      <c r="AC11" s="364"/>
    </row>
    <row r="12" spans="1:29" ht="12.75" outlineLevel="1">
      <c r="A12" s="64" t="s">
        <v>72</v>
      </c>
      <c r="B12" s="65" t="s">
        <v>13</v>
      </c>
      <c r="C12" s="30" t="s">
        <v>64</v>
      </c>
      <c r="D12" s="342">
        <f t="shared" si="0"/>
        <v>0.15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57">
        <v>0.004</v>
      </c>
      <c r="AB12" s="363"/>
      <c r="AC12" s="364"/>
    </row>
    <row r="13" spans="1:29" s="53" customFormat="1" ht="15.75" outlineLevel="1">
      <c r="A13" s="72" t="s">
        <v>73</v>
      </c>
      <c r="B13" s="73"/>
      <c r="C13" s="73"/>
      <c r="D13" s="343" t="str">
        <f t="shared" si="0"/>
        <v> </v>
      </c>
      <c r="E13" s="119">
        <f>E14+E15+E16+E18+E19</f>
        <v>9.609469653052631</v>
      </c>
      <c r="F13" s="120">
        <f t="shared" si="1"/>
        <v>0.06752899695575053</v>
      </c>
      <c r="G13" s="121">
        <f>SUM(G14:G19)</f>
        <v>10.2583875</v>
      </c>
      <c r="H13" s="61"/>
      <c r="I13" s="174"/>
      <c r="J13" s="156"/>
      <c r="K13" s="51"/>
      <c r="L13" s="51"/>
      <c r="M13" s="51"/>
      <c r="N13" s="51"/>
      <c r="O13" s="51"/>
      <c r="P13" s="260"/>
      <c r="Q13" s="265"/>
      <c r="R13" s="51"/>
      <c r="S13" s="51"/>
      <c r="T13" s="51"/>
      <c r="U13" s="51"/>
      <c r="V13" s="51"/>
      <c r="W13" s="51"/>
      <c r="X13" s="51"/>
      <c r="Y13" s="51"/>
      <c r="Z13" s="51"/>
      <c r="AA13" s="157"/>
      <c r="AB13" s="361"/>
      <c r="AC13" s="362"/>
    </row>
    <row r="14" spans="1:31" ht="12.75" outlineLevel="1">
      <c r="A14" s="64" t="s">
        <v>361</v>
      </c>
      <c r="B14" s="76" t="s">
        <v>13</v>
      </c>
      <c r="C14" s="30" t="s">
        <v>64</v>
      </c>
      <c r="D14" s="344">
        <f t="shared" si="0"/>
        <v>0.15</v>
      </c>
      <c r="E14" s="70">
        <f aca="true" t="shared" si="5" ref="E14:E19">I14</f>
        <v>1.504536</v>
      </c>
      <c r="F14" s="68">
        <f t="shared" si="1"/>
        <v>0.21525008374674964</v>
      </c>
      <c r="G14" s="118">
        <v>1.8283874999999998</v>
      </c>
      <c r="H14" s="70"/>
      <c r="I14" s="173">
        <f aca="true" t="shared" si="6" ref="I14:I19">J14*J$21+K14*K$21+L14*L$21+M14*M$21+N14*N$21+O14*O$21+P14*P$21+Q14*Q$21+R14*R$21+S14*S$21+T14*T$21+U14*U$21+V14*V$21+W14*W$21+X14*X$21+Y14*Y$21+Z14*Z$21+AA14*AA$21</f>
        <v>1.504536</v>
      </c>
      <c r="J14" s="159">
        <v>0.006</v>
      </c>
      <c r="K14" s="57">
        <f>DFB_Typ_2008_07_07!T33/1000</f>
        <v>0.19</v>
      </c>
      <c r="L14" s="57">
        <f>0.08276</f>
        <v>0.08276</v>
      </c>
      <c r="M14" s="57">
        <f>0.049</f>
        <v>0.049</v>
      </c>
      <c r="N14" s="144">
        <f>0.065</f>
        <v>0.065</v>
      </c>
      <c r="O14" s="207">
        <f>0.01375</f>
        <v>0.01375</v>
      </c>
      <c r="P14" s="144">
        <f>0.01271</f>
        <v>0.01271</v>
      </c>
      <c r="Q14" s="266"/>
      <c r="R14" s="143"/>
      <c r="S14" s="143"/>
      <c r="T14" s="57"/>
      <c r="U14" s="57"/>
      <c r="V14" s="57"/>
      <c r="W14" s="57"/>
      <c r="X14" s="57"/>
      <c r="Y14" s="57"/>
      <c r="Z14" s="57"/>
      <c r="AA14" s="155"/>
      <c r="AB14" s="365"/>
      <c r="AC14" s="366"/>
      <c r="AE14" t="s">
        <v>355</v>
      </c>
    </row>
    <row r="15" spans="1:31" ht="12.75" outlineLevel="1">
      <c r="A15" s="64" t="s">
        <v>75</v>
      </c>
      <c r="B15" s="65" t="s">
        <v>13</v>
      </c>
      <c r="C15" s="30" t="s">
        <v>64</v>
      </c>
      <c r="D15" s="342">
        <f t="shared" si="0"/>
        <v>0.15</v>
      </c>
      <c r="E15" s="67">
        <f t="shared" si="5"/>
        <v>1.749</v>
      </c>
      <c r="F15" s="68">
        <f t="shared" si="1"/>
        <v>0.05774728416237849</v>
      </c>
      <c r="G15" s="118">
        <v>1.85</v>
      </c>
      <c r="H15" s="70"/>
      <c r="I15" s="173">
        <f t="shared" si="6"/>
        <v>1.749</v>
      </c>
      <c r="J15" s="159"/>
      <c r="K15" s="57"/>
      <c r="L15" s="57"/>
      <c r="M15" s="57"/>
      <c r="N15" s="57"/>
      <c r="O15" s="182"/>
      <c r="P15" s="261"/>
      <c r="Q15" s="267">
        <v>0.003</v>
      </c>
      <c r="R15" s="57">
        <v>0.055</v>
      </c>
      <c r="S15" s="57">
        <v>0.05</v>
      </c>
      <c r="T15" s="326">
        <v>0.0013</v>
      </c>
      <c r="U15" s="326">
        <v>0.0003</v>
      </c>
      <c r="V15" s="57">
        <v>0.0018</v>
      </c>
      <c r="W15" s="57">
        <v>0.0018</v>
      </c>
      <c r="X15" s="57">
        <v>0.0018</v>
      </c>
      <c r="Y15" s="57">
        <v>0.0018</v>
      </c>
      <c r="Z15" s="57">
        <v>0.0018</v>
      </c>
      <c r="AA15" s="57">
        <v>0.0018</v>
      </c>
      <c r="AB15" s="365"/>
      <c r="AC15" s="366"/>
      <c r="AE15" t="s">
        <v>356</v>
      </c>
    </row>
    <row r="16" spans="1:29" ht="12.75" outlineLevel="1">
      <c r="A16" s="64" t="s">
        <v>76</v>
      </c>
      <c r="B16" s="65" t="s">
        <v>13</v>
      </c>
      <c r="C16" s="30" t="s">
        <v>65</v>
      </c>
      <c r="D16" s="342">
        <f t="shared" si="0"/>
        <v>0.25</v>
      </c>
      <c r="E16" s="67">
        <f t="shared" si="5"/>
        <v>0.4875</v>
      </c>
      <c r="F16" s="68">
        <f t="shared" si="1"/>
        <v>0.25000000000000006</v>
      </c>
      <c r="G16" s="118">
        <v>0.609375</v>
      </c>
      <c r="H16" s="70"/>
      <c r="I16" s="173">
        <f t="shared" si="6"/>
        <v>0.4875</v>
      </c>
      <c r="J16" s="159"/>
      <c r="K16" s="57"/>
      <c r="L16" s="57"/>
      <c r="M16" s="57">
        <v>0.0025</v>
      </c>
      <c r="N16" s="57">
        <v>0.005</v>
      </c>
      <c r="O16" s="182">
        <v>0.025</v>
      </c>
      <c r="P16" s="261">
        <v>0.02</v>
      </c>
      <c r="Q16" s="267"/>
      <c r="R16" s="143"/>
      <c r="S16" s="143"/>
      <c r="T16" s="57"/>
      <c r="U16" s="57"/>
      <c r="V16" s="57"/>
      <c r="W16" s="57"/>
      <c r="X16" s="57"/>
      <c r="Y16" s="57"/>
      <c r="Z16" s="57"/>
      <c r="AA16" s="155"/>
      <c r="AB16" s="365"/>
      <c r="AC16" s="366"/>
    </row>
    <row r="17" spans="1:29" ht="12.75" hidden="1" outlineLevel="1">
      <c r="A17" s="64" t="s">
        <v>85</v>
      </c>
      <c r="B17" s="65"/>
      <c r="C17" s="30" t="s">
        <v>65</v>
      </c>
      <c r="D17" s="342">
        <f t="shared" si="0"/>
        <v>0.25</v>
      </c>
      <c r="E17" s="67">
        <f t="shared" si="5"/>
        <v>0.07200000000000001</v>
      </c>
      <c r="F17" s="68">
        <f t="shared" si="1"/>
        <v>-1</v>
      </c>
      <c r="G17" s="118"/>
      <c r="H17" s="70"/>
      <c r="I17" s="173">
        <f t="shared" si="6"/>
        <v>0.07200000000000001</v>
      </c>
      <c r="J17" s="159"/>
      <c r="K17" s="57"/>
      <c r="L17" s="323">
        <f>L48*L27</f>
        <v>0.02</v>
      </c>
      <c r="M17" s="57"/>
      <c r="N17" s="57"/>
      <c r="O17" s="57"/>
      <c r="P17" s="144"/>
      <c r="Q17" s="266"/>
      <c r="R17" s="57"/>
      <c r="S17" s="57"/>
      <c r="T17" s="57"/>
      <c r="U17" s="57"/>
      <c r="V17" s="57"/>
      <c r="W17" s="57"/>
      <c r="X17" s="57"/>
      <c r="Y17" s="57"/>
      <c r="Z17" s="57"/>
      <c r="AA17" s="155"/>
      <c r="AB17" s="365"/>
      <c r="AC17" s="366"/>
    </row>
    <row r="18" spans="1:31" ht="12.75" outlineLevel="1">
      <c r="A18" s="64" t="s">
        <v>77</v>
      </c>
      <c r="B18" s="65" t="s">
        <v>13</v>
      </c>
      <c r="C18" s="30" t="s">
        <v>64</v>
      </c>
      <c r="D18" s="342">
        <f t="shared" si="0"/>
        <v>0.15</v>
      </c>
      <c r="E18" s="67">
        <f t="shared" si="5"/>
        <v>1.2375791999999999</v>
      </c>
      <c r="F18" s="68">
        <f t="shared" si="1"/>
        <v>0.6887808069172462</v>
      </c>
      <c r="G18" s="118">
        <v>2.09</v>
      </c>
      <c r="H18" s="70"/>
      <c r="I18" s="173">
        <f t="shared" si="6"/>
        <v>1.2375791999999999</v>
      </c>
      <c r="J18" s="159">
        <f>0.004*1.1</f>
        <v>0.0044</v>
      </c>
      <c r="K18" s="57">
        <f>DCB_2008_08_18!$H$24*(1+L28)/1000</f>
        <v>0.250044</v>
      </c>
      <c r="L18" s="57">
        <f>0.135+L17</f>
        <v>0.155</v>
      </c>
      <c r="M18" s="57">
        <f>0.015*1.1</f>
        <v>0.0165</v>
      </c>
      <c r="N18" s="144">
        <f>0.01*1.1</f>
        <v>0.011000000000000001</v>
      </c>
      <c r="O18" s="185">
        <v>0.0035</v>
      </c>
      <c r="P18" s="115">
        <v>0.0035</v>
      </c>
      <c r="Q18" s="266"/>
      <c r="R18" s="57"/>
      <c r="S18" s="57"/>
      <c r="T18" s="57"/>
      <c r="U18" s="57"/>
      <c r="V18" s="57"/>
      <c r="W18" s="57"/>
      <c r="X18" s="57"/>
      <c r="Y18" s="57"/>
      <c r="Z18" s="57"/>
      <c r="AA18" s="155"/>
      <c r="AB18" s="365"/>
      <c r="AC18" s="366"/>
      <c r="AE18" t="s">
        <v>355</v>
      </c>
    </row>
    <row r="19" spans="1:29" ht="12.75" outlineLevel="1">
      <c r="A19" s="80" t="s">
        <v>78</v>
      </c>
      <c r="B19" s="81" t="s">
        <v>13</v>
      </c>
      <c r="C19" s="330" t="s">
        <v>64</v>
      </c>
      <c r="D19" s="345">
        <f t="shared" si="0"/>
        <v>0.15</v>
      </c>
      <c r="E19" s="84">
        <f t="shared" si="5"/>
        <v>4.630854453052632</v>
      </c>
      <c r="F19" s="135">
        <f>(G19-E19)/E19</f>
        <v>-0.1620067010653045</v>
      </c>
      <c r="G19" s="136">
        <f>4.49-G16</f>
        <v>3.880625</v>
      </c>
      <c r="H19" s="70"/>
      <c r="I19" s="173">
        <f t="shared" si="6"/>
        <v>4.630854453052632</v>
      </c>
      <c r="J19" s="271">
        <f>SUM(J6:J18)*$L$24</f>
        <v>0.006864</v>
      </c>
      <c r="K19" s="272">
        <f>SUM(K6:K18)*$L$24</f>
        <v>0.29042904</v>
      </c>
      <c r="L19" s="142">
        <f>(L14+L18)*$L$24</f>
        <v>0.1569216</v>
      </c>
      <c r="M19" s="207">
        <f aca="true" t="shared" si="7" ref="M19:S19">SUM(M6:M18)*$L$24</f>
        <v>0.04488</v>
      </c>
      <c r="N19" s="207">
        <f t="shared" si="7"/>
        <v>0.05346000000000001</v>
      </c>
      <c r="O19" s="207">
        <f t="shared" si="7"/>
        <v>0.027885000000000004</v>
      </c>
      <c r="P19" s="273">
        <f t="shared" si="7"/>
        <v>0.023898600000000006</v>
      </c>
      <c r="Q19" s="271">
        <f t="shared" si="7"/>
        <v>0.00198</v>
      </c>
      <c r="R19" s="207">
        <f t="shared" si="7"/>
        <v>0.0363</v>
      </c>
      <c r="S19" s="207">
        <f t="shared" si="7"/>
        <v>0.033</v>
      </c>
      <c r="T19" s="327">
        <f>SUM(T6:T18)*$W$24+$Z$25/T21</f>
        <v>0.0031654970760233918</v>
      </c>
      <c r="U19" s="327">
        <f>SUM(U6:U18)*$W$24+$Z$25/U21</f>
        <v>0.001756140350877193</v>
      </c>
      <c r="V19" s="207">
        <f aca="true" t="shared" si="8" ref="V19:AA19">SUM(V6:V18)*$L$24</f>
        <v>0.003828</v>
      </c>
      <c r="W19" s="207">
        <f t="shared" si="8"/>
        <v>0.003828</v>
      </c>
      <c r="X19" s="207">
        <f t="shared" si="8"/>
        <v>0.003828</v>
      </c>
      <c r="Y19" s="207">
        <f t="shared" si="8"/>
        <v>0.003828</v>
      </c>
      <c r="Z19" s="207">
        <f t="shared" si="8"/>
        <v>0.003828</v>
      </c>
      <c r="AA19" s="274">
        <f t="shared" si="8"/>
        <v>0.003828</v>
      </c>
      <c r="AB19" s="149"/>
      <c r="AC19" s="87"/>
    </row>
    <row r="20" spans="1:29" ht="12.75">
      <c r="A20" s="88"/>
      <c r="B20" s="39"/>
      <c r="C20" s="66"/>
      <c r="D20" s="59"/>
      <c r="E20" s="67"/>
      <c r="F20" s="68"/>
      <c r="G20" s="69"/>
      <c r="H20" s="70"/>
      <c r="I20" s="175"/>
      <c r="J20" s="162"/>
      <c r="K20" s="89"/>
      <c r="L20" s="89"/>
      <c r="M20" s="89"/>
      <c r="N20" s="89"/>
      <c r="O20" s="89"/>
      <c r="P20" s="89"/>
      <c r="Q20" s="162"/>
      <c r="R20" s="257"/>
      <c r="S20" s="89"/>
      <c r="T20" s="89"/>
      <c r="U20" s="89"/>
      <c r="V20" s="89"/>
      <c r="W20" s="89"/>
      <c r="X20" s="89"/>
      <c r="Y20" s="89"/>
      <c r="Z20" s="89"/>
      <c r="AA20" s="163"/>
      <c r="AB20" s="90"/>
      <c r="AC20" s="90"/>
    </row>
    <row r="21" spans="1:29" s="53" customFormat="1" ht="16.5" thickBot="1">
      <c r="A21" s="91" t="s">
        <v>79</v>
      </c>
      <c r="B21" s="92"/>
      <c r="C21" s="92"/>
      <c r="D21" s="238"/>
      <c r="E21" s="239">
        <f>SUM(E13+E6)</f>
        <v>10.329469653052632</v>
      </c>
      <c r="F21" s="240">
        <f>(G21-E21)/E21</f>
        <v>0.08024786119608772</v>
      </c>
      <c r="G21" s="241">
        <f>SUM(G13+G6)</f>
        <v>11.1583875</v>
      </c>
      <c r="H21" s="94"/>
      <c r="I21" s="176">
        <f>SUM(I6:I12)+SUM(I14:I16)+SUM(I18:I19)</f>
        <v>10.329469653052632</v>
      </c>
      <c r="J21" s="164">
        <v>5</v>
      </c>
      <c r="K21" s="97">
        <v>1.8</v>
      </c>
      <c r="L21" s="97">
        <v>3.6</v>
      </c>
      <c r="M21" s="97">
        <v>5</v>
      </c>
      <c r="N21" s="97">
        <v>5</v>
      </c>
      <c r="O21" s="97">
        <v>10</v>
      </c>
      <c r="P21" s="262">
        <v>10</v>
      </c>
      <c r="Q21" s="268">
        <v>5</v>
      </c>
      <c r="R21" s="97">
        <v>10</v>
      </c>
      <c r="S21" s="97">
        <v>10</v>
      </c>
      <c r="T21" s="97">
        <v>225</v>
      </c>
      <c r="U21" s="97">
        <v>225</v>
      </c>
      <c r="V21" s="97">
        <v>30</v>
      </c>
      <c r="W21" s="97">
        <v>30</v>
      </c>
      <c r="X21" s="97">
        <v>30</v>
      </c>
      <c r="Y21" s="97">
        <v>30</v>
      </c>
      <c r="Z21" s="97">
        <v>30</v>
      </c>
      <c r="AA21" s="165">
        <v>30</v>
      </c>
      <c r="AB21" s="150" t="s">
        <v>80</v>
      </c>
      <c r="AC21" s="99"/>
    </row>
    <row r="22" spans="1:29" s="53" customFormat="1" ht="16.5" thickBot="1">
      <c r="A22" s="100"/>
      <c r="B22" s="63"/>
      <c r="C22" s="101"/>
      <c r="D22" s="242" t="s">
        <v>252</v>
      </c>
      <c r="E22" s="244">
        <f>I52</f>
        <v>16.974218824059715</v>
      </c>
      <c r="F22" s="331">
        <f>(G22-E22)/E22</f>
        <v>0.3651880089559093</v>
      </c>
      <c r="G22" s="245">
        <v>23.173</v>
      </c>
      <c r="H22" s="94"/>
      <c r="I22" s="177" t="s">
        <v>258</v>
      </c>
      <c r="J22" s="166">
        <f>SUM(J6:J12)+SUM(J14:J18)</f>
        <v>0.0104</v>
      </c>
      <c r="K22" s="104">
        <f>SUM(K6:K12)+SUM(K14:K18)</f>
        <v>0.440044</v>
      </c>
      <c r="L22" s="104">
        <f>L14+L18</f>
        <v>0.23776</v>
      </c>
      <c r="M22" s="104">
        <f aca="true" t="shared" si="9" ref="M22:AA22">SUM(M6:M12)+SUM(M14:M18)</f>
        <v>0.068</v>
      </c>
      <c r="N22" s="104">
        <f t="shared" si="9"/>
        <v>0.081</v>
      </c>
      <c r="O22" s="104">
        <f t="shared" si="9"/>
        <v>0.04225</v>
      </c>
      <c r="P22" s="116">
        <f t="shared" si="9"/>
        <v>0.036210000000000006</v>
      </c>
      <c r="Q22" s="269">
        <f t="shared" si="9"/>
        <v>0.003</v>
      </c>
      <c r="R22" s="258">
        <f t="shared" si="9"/>
        <v>0.055</v>
      </c>
      <c r="S22" s="104">
        <f t="shared" si="9"/>
        <v>0.05</v>
      </c>
      <c r="T22" s="328">
        <f t="shared" si="9"/>
        <v>0.0013</v>
      </c>
      <c r="U22" s="328">
        <f t="shared" si="9"/>
        <v>0.0003</v>
      </c>
      <c r="V22" s="104">
        <f t="shared" si="9"/>
        <v>0.0058</v>
      </c>
      <c r="W22" s="104">
        <f t="shared" si="9"/>
        <v>0.0058</v>
      </c>
      <c r="X22" s="104">
        <f t="shared" si="9"/>
        <v>0.0058</v>
      </c>
      <c r="Y22" s="104">
        <f t="shared" si="9"/>
        <v>0.0058</v>
      </c>
      <c r="Z22" s="104">
        <f t="shared" si="9"/>
        <v>0.0058</v>
      </c>
      <c r="AA22" s="167">
        <f t="shared" si="9"/>
        <v>0.0058</v>
      </c>
      <c r="AB22" s="150" t="s">
        <v>81</v>
      </c>
      <c r="AC22" s="99"/>
    </row>
    <row r="23" spans="1:29" s="53" customFormat="1" ht="16.5" thickBot="1">
      <c r="A23"/>
      <c r="B23" s="66"/>
      <c r="H23" s="105"/>
      <c r="I23" s="178"/>
      <c r="J23" s="168">
        <f aca="true" t="shared" si="10" ref="J23:AA23">J21*J22</f>
        <v>0.052</v>
      </c>
      <c r="K23" s="181">
        <f t="shared" si="10"/>
        <v>0.7920792</v>
      </c>
      <c r="L23" s="169">
        <f>L21*L22</f>
        <v>0.855936</v>
      </c>
      <c r="M23" s="169">
        <f t="shared" si="10"/>
        <v>0.34</v>
      </c>
      <c r="N23" s="169">
        <f t="shared" si="10"/>
        <v>0.405</v>
      </c>
      <c r="O23" s="169">
        <f t="shared" si="10"/>
        <v>0.42250000000000004</v>
      </c>
      <c r="P23" s="263">
        <f t="shared" si="10"/>
        <v>0.3621000000000001</v>
      </c>
      <c r="Q23" s="270">
        <f t="shared" si="10"/>
        <v>0.015</v>
      </c>
      <c r="R23" s="169">
        <f t="shared" si="10"/>
        <v>0.55</v>
      </c>
      <c r="S23" s="169">
        <f t="shared" si="10"/>
        <v>0.5</v>
      </c>
      <c r="T23" s="169">
        <f t="shared" si="10"/>
        <v>0.2925</v>
      </c>
      <c r="U23" s="169">
        <f t="shared" si="10"/>
        <v>0.06749999999999999</v>
      </c>
      <c r="V23" s="169">
        <f t="shared" si="10"/>
        <v>0.174</v>
      </c>
      <c r="W23" s="169">
        <f t="shared" si="10"/>
        <v>0.174</v>
      </c>
      <c r="X23" s="169">
        <f t="shared" si="10"/>
        <v>0.174</v>
      </c>
      <c r="Y23" s="169">
        <f t="shared" si="10"/>
        <v>0.174</v>
      </c>
      <c r="Z23" s="169">
        <f t="shared" si="10"/>
        <v>0.174</v>
      </c>
      <c r="AA23" s="170">
        <f t="shared" si="10"/>
        <v>0.174</v>
      </c>
      <c r="AB23" s="151" t="s">
        <v>4</v>
      </c>
      <c r="AC23" s="110"/>
    </row>
    <row r="24" spans="1:29" s="53" customFormat="1" ht="15.75" outlineLevel="1">
      <c r="A24"/>
      <c r="B24" s="39"/>
      <c r="C24" s="63"/>
      <c r="D24" s="63"/>
      <c r="E24" s="112"/>
      <c r="F24" s="358"/>
      <c r="G24" s="112"/>
      <c r="H24" s="94"/>
      <c r="I24" s="1" t="s">
        <v>82</v>
      </c>
      <c r="L24" s="112">
        <v>0.66</v>
      </c>
      <c r="M24" s="113"/>
      <c r="N24" s="79" t="s">
        <v>261</v>
      </c>
      <c r="P24" s="79">
        <f>1/(1+L24)</f>
        <v>0.6024096385542168</v>
      </c>
      <c r="Q24" s="53" t="s">
        <v>262</v>
      </c>
      <c r="S24" s="1" t="s">
        <v>326</v>
      </c>
      <c r="T24" s="319"/>
      <c r="U24" s="319"/>
      <c r="V24" s="319"/>
      <c r="W24" s="1">
        <f>(1/Z24-Z25/(T21*0.006)-1)</f>
        <v>1.409356725146199</v>
      </c>
      <c r="X24" s="79" t="s">
        <v>261</v>
      </c>
      <c r="Z24" s="318">
        <v>0.38</v>
      </c>
      <c r="AA24" s="53" t="s">
        <v>262</v>
      </c>
      <c r="AC24" s="71"/>
    </row>
    <row r="25" spans="2:27" ht="12.75" outlineLevel="1">
      <c r="B25" s="39"/>
      <c r="C25" s="65"/>
      <c r="D25" s="114"/>
      <c r="E25" s="115"/>
      <c r="F25" s="70"/>
      <c r="G25" s="116"/>
      <c r="I25" s="113" t="s">
        <v>125</v>
      </c>
      <c r="O25" s="138"/>
      <c r="X25" t="s">
        <v>353</v>
      </c>
      <c r="Z25">
        <v>0.3</v>
      </c>
      <c r="AA25" t="s">
        <v>44</v>
      </c>
    </row>
    <row r="26" spans="1:28" ht="38.25" outlineLevel="1">
      <c r="A26" s="133" t="s">
        <v>107</v>
      </c>
      <c r="B26" s="134" t="s">
        <v>108</v>
      </c>
      <c r="C26" s="134" t="s">
        <v>112</v>
      </c>
      <c r="D26" s="418" t="s">
        <v>101</v>
      </c>
      <c r="E26" s="390"/>
      <c r="F26" s="390"/>
      <c r="G26" s="390"/>
      <c r="H26" s="390"/>
      <c r="I26" s="117"/>
      <c r="M26" s="1"/>
      <c r="N26" s="1"/>
      <c r="AB26" s="111"/>
    </row>
    <row r="27" spans="1:13" ht="12.75" outlineLevel="1">
      <c r="A27" s="20" t="s">
        <v>96</v>
      </c>
      <c r="B27" s="21">
        <f>G21</f>
        <v>11.1583875</v>
      </c>
      <c r="C27" s="131">
        <f>G22/B32</f>
        <v>1.0533181818181818</v>
      </c>
      <c r="D27" s="450" t="s">
        <v>253</v>
      </c>
      <c r="E27" s="450"/>
      <c r="F27" s="450"/>
      <c r="G27" s="450"/>
      <c r="H27" s="450"/>
      <c r="I27"/>
      <c r="L27" s="324">
        <v>0.5</v>
      </c>
      <c r="M27" t="s">
        <v>346</v>
      </c>
    </row>
    <row r="28" spans="1:21" ht="12.75" outlineLevel="1">
      <c r="A28" s="132" t="s">
        <v>313</v>
      </c>
      <c r="B28" s="21">
        <v>10</v>
      </c>
      <c r="C28" s="131">
        <f>35/F38</f>
        <v>0.2857142857142857</v>
      </c>
      <c r="D28" s="449" t="s">
        <v>333</v>
      </c>
      <c r="E28" s="450"/>
      <c r="F28" s="450"/>
      <c r="G28" s="450"/>
      <c r="H28" s="450"/>
      <c r="L28" s="324">
        <v>0.34</v>
      </c>
      <c r="M28" t="s">
        <v>347</v>
      </c>
      <c r="U28" s="113"/>
    </row>
    <row r="29" spans="1:9" ht="12.75" outlineLevel="1">
      <c r="A29" s="132" t="s">
        <v>99</v>
      </c>
      <c r="B29" s="21">
        <f>C37*B33</f>
        <v>11.804545454545453</v>
      </c>
      <c r="C29" s="21">
        <f>MAX(C36,C39)</f>
        <v>1.9125683060109289</v>
      </c>
      <c r="D29" s="449" t="s">
        <v>115</v>
      </c>
      <c r="E29" s="450"/>
      <c r="F29" s="450"/>
      <c r="G29" s="450"/>
      <c r="H29" s="450"/>
      <c r="I29" s="79"/>
    </row>
    <row r="30" spans="1:13" ht="12.75" outlineLevel="1">
      <c r="A30" s="132" t="s">
        <v>100</v>
      </c>
      <c r="B30" s="21">
        <f>C37*B33</f>
        <v>11.804545454545453</v>
      </c>
      <c r="C30" s="21">
        <f>MAX(C35,C38,C39)</f>
        <v>2.2580645161290325</v>
      </c>
      <c r="D30" s="449" t="s">
        <v>116</v>
      </c>
      <c r="E30" s="450"/>
      <c r="F30" s="450"/>
      <c r="G30" s="450"/>
      <c r="H30" s="450"/>
      <c r="I30" s="79"/>
      <c r="M30" s="39"/>
    </row>
    <row r="31" ht="12.75" outlineLevel="1">
      <c r="M31" s="39"/>
    </row>
    <row r="32" spans="1:3" ht="12.75" outlineLevel="1">
      <c r="A32" s="113" t="s">
        <v>103</v>
      </c>
      <c r="B32" s="39">
        <v>22</v>
      </c>
      <c r="C32" s="79" t="s">
        <v>105</v>
      </c>
    </row>
    <row r="33" spans="1:9" ht="12.75" customHeight="1" outlineLevel="1">
      <c r="A33" s="113" t="s">
        <v>104</v>
      </c>
      <c r="B33">
        <v>35</v>
      </c>
      <c r="C33" t="s">
        <v>105</v>
      </c>
      <c r="I33" s="113" t="s">
        <v>250</v>
      </c>
    </row>
    <row r="34" spans="1:29" ht="13.5" customHeight="1" outlineLevel="1">
      <c r="A34" s="113"/>
      <c r="C34"/>
      <c r="I34" s="427" t="s">
        <v>39</v>
      </c>
      <c r="J34" s="429" t="s">
        <v>40</v>
      </c>
      <c r="K34" s="429"/>
      <c r="L34" s="430"/>
      <c r="M34" s="430"/>
      <c r="N34" s="430"/>
      <c r="O34" s="430"/>
      <c r="P34" s="430"/>
      <c r="Q34" s="430"/>
      <c r="R34" s="430"/>
      <c r="S34" s="430"/>
      <c r="T34" s="430"/>
      <c r="U34" s="430"/>
      <c r="V34" s="430"/>
      <c r="W34" s="430"/>
      <c r="X34" s="430"/>
      <c r="Y34" s="430"/>
      <c r="Z34" s="430"/>
      <c r="AA34" s="430"/>
      <c r="AB34" s="430"/>
      <c r="AC34" s="431"/>
    </row>
    <row r="35" spans="1:29" ht="13.5" outlineLevel="1" thickBot="1">
      <c r="A35" t="s">
        <v>273</v>
      </c>
      <c r="B35" s="2"/>
      <c r="C35" s="130">
        <f>2*B33/F35</f>
        <v>2.2580645161290325</v>
      </c>
      <c r="D35" s="127" t="s">
        <v>111</v>
      </c>
      <c r="F35" s="129">
        <v>31</v>
      </c>
      <c r="G35" s="113" t="s">
        <v>102</v>
      </c>
      <c r="I35" s="428"/>
      <c r="J35" s="432"/>
      <c r="K35" s="432"/>
      <c r="L35" s="432"/>
      <c r="M35" s="432"/>
      <c r="N35" s="432"/>
      <c r="O35" s="432"/>
      <c r="P35" s="432"/>
      <c r="Q35" s="432"/>
      <c r="R35" s="432"/>
      <c r="S35" s="432"/>
      <c r="T35" s="432"/>
      <c r="U35" s="432"/>
      <c r="V35" s="432"/>
      <c r="W35" s="432"/>
      <c r="X35" s="432"/>
      <c r="Y35" s="432"/>
      <c r="Z35" s="432"/>
      <c r="AA35" s="432"/>
      <c r="AB35" s="433"/>
      <c r="AC35" s="434"/>
    </row>
    <row r="36" spans="1:29" ht="12.75" outlineLevel="1">
      <c r="A36" s="79" t="s">
        <v>271</v>
      </c>
      <c r="B36" s="2"/>
      <c r="C36" s="128">
        <f>B33/F36</f>
        <v>1.9125683060109289</v>
      </c>
      <c r="D36" s="127" t="s">
        <v>111</v>
      </c>
      <c r="E36" s="113"/>
      <c r="F36" s="129">
        <f>36.6/2</f>
        <v>18.3</v>
      </c>
      <c r="G36" s="113" t="s">
        <v>102</v>
      </c>
      <c r="I36" s="171" t="s">
        <v>46</v>
      </c>
      <c r="J36" s="152" t="str">
        <f aca="true" t="shared" si="11" ref="J36:AA36">J5</f>
        <v>+5V D</v>
      </c>
      <c r="K36" s="152" t="str">
        <f t="shared" si="11"/>
        <v> +1.8V D</v>
      </c>
      <c r="L36" s="152" t="str">
        <f t="shared" si="11"/>
        <v>+3.6D (1)</v>
      </c>
      <c r="M36" s="152" t="str">
        <f t="shared" si="11"/>
        <v>+5V A</v>
      </c>
      <c r="N36" s="152" t="str">
        <f t="shared" si="11"/>
        <v>-5V A</v>
      </c>
      <c r="O36" s="152" t="str">
        <f t="shared" si="11"/>
        <v>+10VA</v>
      </c>
      <c r="P36" s="152" t="str">
        <f t="shared" si="11"/>
        <v>-10VA</v>
      </c>
      <c r="Q36" s="152" t="str">
        <f t="shared" si="11"/>
        <v>+5V D</v>
      </c>
      <c r="R36" s="152" t="str">
        <f t="shared" si="11"/>
        <v>+10V A</v>
      </c>
      <c r="S36" s="152" t="str">
        <f t="shared" si="11"/>
        <v>-10V A</v>
      </c>
      <c r="T36" s="152" t="str">
        <f t="shared" si="11"/>
        <v>+225V</v>
      </c>
      <c r="U36" s="152" t="str">
        <f t="shared" si="11"/>
        <v>-225V</v>
      </c>
      <c r="V36" s="152" t="str">
        <f t="shared" si="11"/>
        <v>+/-15F1</v>
      </c>
      <c r="W36" s="152" t="str">
        <f t="shared" si="11"/>
        <v>+/-15F2</v>
      </c>
      <c r="X36" s="152" t="str">
        <f t="shared" si="11"/>
        <v>+/-15F3</v>
      </c>
      <c r="Y36" s="152" t="str">
        <f t="shared" si="11"/>
        <v>+/-15F4</v>
      </c>
      <c r="Z36" s="152" t="str">
        <f t="shared" si="11"/>
        <v>+/-10F5</v>
      </c>
      <c r="AA36" s="152" t="str">
        <f t="shared" si="11"/>
        <v>+/-15F6</v>
      </c>
      <c r="AB36" s="145" t="s">
        <v>62</v>
      </c>
      <c r="AC36" s="50" t="s">
        <v>63</v>
      </c>
    </row>
    <row r="37" spans="1:29" ht="15" outlineLevel="1">
      <c r="A37" s="79" t="s">
        <v>109</v>
      </c>
      <c r="B37" s="124"/>
      <c r="C37" s="128">
        <f>B33/F37</f>
        <v>0.3372727272727272</v>
      </c>
      <c r="D37" s="127" t="s">
        <v>111</v>
      </c>
      <c r="E37" s="113"/>
      <c r="F37" s="126">
        <f>22/0.212</f>
        <v>103.77358490566039</v>
      </c>
      <c r="G37" s="113" t="s">
        <v>102</v>
      </c>
      <c r="I37" s="172"/>
      <c r="J37" s="426" t="s">
        <v>128</v>
      </c>
      <c r="K37" s="424"/>
      <c r="L37" s="424"/>
      <c r="M37" s="424"/>
      <c r="N37" s="424"/>
      <c r="O37" s="424"/>
      <c r="P37" s="424"/>
      <c r="Q37" s="426" t="s">
        <v>5</v>
      </c>
      <c r="R37" s="424"/>
      <c r="S37" s="424"/>
      <c r="T37" s="424"/>
      <c r="U37" s="424"/>
      <c r="V37" s="424"/>
      <c r="W37" s="424"/>
      <c r="X37" s="424"/>
      <c r="Y37" s="424"/>
      <c r="Z37" s="424"/>
      <c r="AA37" s="425"/>
      <c r="AB37" s="146"/>
      <c r="AC37" s="52"/>
    </row>
    <row r="38" spans="1:29" ht="12.75" outlineLevel="1">
      <c r="A38" s="79" t="s">
        <v>314</v>
      </c>
      <c r="C38" s="125">
        <f>B33/F38</f>
        <v>0.2857142857142857</v>
      </c>
      <c r="D38" s="127" t="s">
        <v>111</v>
      </c>
      <c r="E38" s="113"/>
      <c r="F38" s="126">
        <f>(B33*B33)/B28</f>
        <v>122.5</v>
      </c>
      <c r="G38" s="113" t="s">
        <v>102</v>
      </c>
      <c r="I38" s="173">
        <f aca="true" t="shared" si="12" ref="I38:I43">J38*J$21+K38*K$21+L38*L$21+M38*M$21+N38*N$21+O38*O$21+P38*P$21+Q38*Q$21+R38*R$21+S38*S$21+T38*T$21+U38*U$21+V38*V$21+W38*W$21+X38*X$21+Y38*Y$21+Z38*Z$21+AA38*AA$21</f>
        <v>0.18</v>
      </c>
      <c r="J38" s="64"/>
      <c r="K38" s="56"/>
      <c r="L38" s="56"/>
      <c r="M38" s="56"/>
      <c r="N38" s="56"/>
      <c r="O38" s="56"/>
      <c r="P38" s="254"/>
      <c r="Q38" s="88"/>
      <c r="R38" s="86"/>
      <c r="S38" s="56"/>
      <c r="T38" s="56"/>
      <c r="U38" s="254"/>
      <c r="V38" s="142">
        <f>V7*1.5</f>
        <v>0.006</v>
      </c>
      <c r="W38" s="182"/>
      <c r="X38" s="182"/>
      <c r="Y38" s="182"/>
      <c r="Z38" s="182"/>
      <c r="AA38" s="183"/>
      <c r="AB38" s="147">
        <f>0.1</f>
        <v>0.1</v>
      </c>
      <c r="AC38" s="60">
        <v>2</v>
      </c>
    </row>
    <row r="39" spans="1:29" ht="12.75" outlineLevel="1">
      <c r="A39" s="79" t="s">
        <v>272</v>
      </c>
      <c r="C39" s="284">
        <v>1.5</v>
      </c>
      <c r="D39" s="285" t="s">
        <v>312</v>
      </c>
      <c r="I39" s="173">
        <f t="shared" si="12"/>
        <v>0.18</v>
      </c>
      <c r="J39" s="64"/>
      <c r="K39" s="56"/>
      <c r="L39" s="56"/>
      <c r="M39" s="56"/>
      <c r="N39" s="56"/>
      <c r="O39" s="56"/>
      <c r="P39" s="254"/>
      <c r="Q39" s="88"/>
      <c r="R39" s="56"/>
      <c r="S39" s="56"/>
      <c r="T39" s="56"/>
      <c r="U39" s="56"/>
      <c r="V39" s="261"/>
      <c r="W39" s="182">
        <f>W8*1.5</f>
        <v>0.006</v>
      </c>
      <c r="X39" s="182"/>
      <c r="Y39" s="182"/>
      <c r="Z39" s="182"/>
      <c r="AA39" s="183"/>
      <c r="AB39" s="147">
        <f>0.1</f>
        <v>0.1</v>
      </c>
      <c r="AC39" s="60">
        <v>2</v>
      </c>
    </row>
    <row r="40" spans="4:29" ht="12.75" outlineLevel="1">
      <c r="D40" s="285" t="s">
        <v>274</v>
      </c>
      <c r="I40" s="173">
        <f t="shared" si="12"/>
        <v>0.18</v>
      </c>
      <c r="J40" s="64"/>
      <c r="K40" s="56"/>
      <c r="L40" s="56"/>
      <c r="M40" s="56"/>
      <c r="N40" s="56"/>
      <c r="O40" s="56"/>
      <c r="P40" s="254"/>
      <c r="Q40" s="88"/>
      <c r="R40" s="56"/>
      <c r="S40" s="56"/>
      <c r="T40" s="56"/>
      <c r="U40" s="56"/>
      <c r="V40" s="182"/>
      <c r="W40" s="261"/>
      <c r="X40" s="182">
        <f>X9*1.5</f>
        <v>0.006</v>
      </c>
      <c r="Y40" s="182"/>
      <c r="Z40" s="182"/>
      <c r="AA40" s="183"/>
      <c r="AB40" s="147">
        <f>0.1</f>
        <v>0.1</v>
      </c>
      <c r="AC40" s="60">
        <v>2</v>
      </c>
    </row>
    <row r="41" spans="9:29" ht="12.75" outlineLevel="1">
      <c r="I41" s="173">
        <f t="shared" si="12"/>
        <v>0.18</v>
      </c>
      <c r="J41" s="64"/>
      <c r="K41" s="56"/>
      <c r="L41" s="56"/>
      <c r="M41" s="56"/>
      <c r="N41" s="56"/>
      <c r="O41" s="56"/>
      <c r="P41" s="254"/>
      <c r="Q41" s="88"/>
      <c r="R41" s="56"/>
      <c r="S41" s="56"/>
      <c r="T41" s="56"/>
      <c r="U41" s="56"/>
      <c r="V41" s="182"/>
      <c r="W41" s="182"/>
      <c r="X41" s="261"/>
      <c r="Y41" s="182">
        <f>Y10*1.5</f>
        <v>0.006</v>
      </c>
      <c r="Z41" s="182"/>
      <c r="AA41" s="183"/>
      <c r="AB41" s="147">
        <f>0.1</f>
        <v>0.1</v>
      </c>
      <c r="AC41" s="60">
        <v>2</v>
      </c>
    </row>
    <row r="42" spans="9:29" ht="12.75" outlineLevel="1">
      <c r="I42" s="173">
        <f t="shared" si="12"/>
        <v>0.18</v>
      </c>
      <c r="J42" s="64"/>
      <c r="K42" s="56"/>
      <c r="L42" s="56"/>
      <c r="M42" s="56"/>
      <c r="N42" s="56"/>
      <c r="O42" s="56"/>
      <c r="P42" s="254"/>
      <c r="Q42" s="88"/>
      <c r="R42" s="56"/>
      <c r="S42" s="56"/>
      <c r="T42" s="56"/>
      <c r="U42" s="56"/>
      <c r="V42" s="182"/>
      <c r="W42" s="182"/>
      <c r="X42" s="182"/>
      <c r="Y42" s="261"/>
      <c r="Z42" s="182">
        <f>Z11*1.5</f>
        <v>0.006</v>
      </c>
      <c r="AA42" s="183"/>
      <c r="AB42" s="147">
        <f>28/31</f>
        <v>0.9032258064516129</v>
      </c>
      <c r="AC42" s="60"/>
    </row>
    <row r="43" spans="4:29" ht="12.75" outlineLevel="1">
      <c r="D43" s="16">
        <f>B33*B33/F36</f>
        <v>66.93989071038251</v>
      </c>
      <c r="I43" s="173">
        <f t="shared" si="12"/>
        <v>0.18</v>
      </c>
      <c r="J43" s="64"/>
      <c r="K43" s="56"/>
      <c r="L43" s="56"/>
      <c r="M43" s="56"/>
      <c r="N43" s="56"/>
      <c r="O43" s="56"/>
      <c r="P43" s="254"/>
      <c r="Q43" s="88"/>
      <c r="R43" s="56"/>
      <c r="S43" s="56"/>
      <c r="T43" s="56"/>
      <c r="U43" s="56"/>
      <c r="V43" s="182"/>
      <c r="W43" s="182"/>
      <c r="X43" s="182"/>
      <c r="Y43" s="182"/>
      <c r="Z43" s="261"/>
      <c r="AA43" s="334">
        <f>AA12*1.5</f>
        <v>0.006</v>
      </c>
      <c r="AB43" s="147">
        <f>28/31</f>
        <v>0.9032258064516129</v>
      </c>
      <c r="AC43" s="60"/>
    </row>
    <row r="44" spans="9:29" ht="15" outlineLevel="1">
      <c r="I44" s="174"/>
      <c r="J44" s="156"/>
      <c r="K44" s="51"/>
      <c r="L44" s="51"/>
      <c r="M44" s="51"/>
      <c r="N44" s="51"/>
      <c r="O44" s="51"/>
      <c r="P44" s="260"/>
      <c r="Q44" s="265"/>
      <c r="R44" s="51"/>
      <c r="S44" s="51"/>
      <c r="T44" s="51"/>
      <c r="U44" s="51"/>
      <c r="V44" s="335"/>
      <c r="W44" s="335"/>
      <c r="X44" s="335"/>
      <c r="Y44" s="335"/>
      <c r="Z44" s="335"/>
      <c r="AA44" s="336"/>
      <c r="AB44" s="146"/>
      <c r="AC44" s="52"/>
    </row>
    <row r="45" spans="8:29" ht="12.75" outlineLevel="1">
      <c r="H45" s="248" t="s">
        <v>363</v>
      </c>
      <c r="I45" s="173">
        <f>J45*J$21+K45*K$21+L45*L$21+M45*M$21+N45*N$21+O45*O$21+P45*P$21+Q45*Q$21+R45*R$21+S45*S$21+T45*T$21+U45*U$21+V45*V$21+W45*W$21+X45*X$21+Y45*Y$21+Z45*Z$21+AA45*AA$21</f>
        <v>2.539</v>
      </c>
      <c r="J45" s="267">
        <v>0.011</v>
      </c>
      <c r="K45" s="341">
        <f>DFB_Max_2008_07_07!T33/1000</f>
        <v>0.38</v>
      </c>
      <c r="L45" s="142">
        <v>0.125</v>
      </c>
      <c r="M45" s="341">
        <f>0.082</f>
        <v>0.082</v>
      </c>
      <c r="N45" s="341">
        <f>0.102</f>
        <v>0.102</v>
      </c>
      <c r="O45" s="142">
        <f>0.027</f>
        <v>0.027</v>
      </c>
      <c r="P45" s="341">
        <f>0.016</f>
        <v>0.016</v>
      </c>
      <c r="Q45" s="275"/>
      <c r="R45" s="143"/>
      <c r="S45" s="143"/>
      <c r="T45" s="57"/>
      <c r="U45" s="57"/>
      <c r="V45" s="57"/>
      <c r="W45" s="57"/>
      <c r="X45" s="57"/>
      <c r="Y45" s="57"/>
      <c r="Z45" s="57"/>
      <c r="AA45" s="155"/>
      <c r="AB45" s="148"/>
      <c r="AC45" s="58"/>
    </row>
    <row r="46" spans="8:30" ht="12.75" outlineLevel="1">
      <c r="H46" s="247" t="s">
        <v>259</v>
      </c>
      <c r="I46" s="173">
        <f>J46*J$21+K46*K$21+L46*L$21+M46*M$21+N46*N$21+O46*O$21+P46*P$21+Q46*Q$21+R46*R$21+S46*S$21+T46*T$21/2+U46*U$21/2+V46*V$21+W46*W$21+X46*X$21+Y46*Y$21+Z46*Z$21+AA46*AA$21</f>
        <v>2.949750000000001</v>
      </c>
      <c r="J46" s="250"/>
      <c r="K46" s="251"/>
      <c r="L46" s="57"/>
      <c r="M46" s="144"/>
      <c r="N46" s="144"/>
      <c r="O46" s="182"/>
      <c r="P46" s="261"/>
      <c r="Q46" s="267">
        <f>Q15*1.5</f>
        <v>0.0045000000000000005</v>
      </c>
      <c r="R46" s="261">
        <v>0.055</v>
      </c>
      <c r="S46" s="182">
        <v>0.053</v>
      </c>
      <c r="T46" s="333">
        <v>0.00557</v>
      </c>
      <c r="U46" s="333">
        <v>0.00557</v>
      </c>
      <c r="V46" s="182">
        <f aca="true" t="shared" si="13" ref="V46:AA46">0.0033</f>
        <v>0.0033</v>
      </c>
      <c r="W46" s="182">
        <f t="shared" si="13"/>
        <v>0.0033</v>
      </c>
      <c r="X46" s="182">
        <f t="shared" si="13"/>
        <v>0.0033</v>
      </c>
      <c r="Y46" s="182">
        <f t="shared" si="13"/>
        <v>0.0033</v>
      </c>
      <c r="Z46" s="182">
        <f t="shared" si="13"/>
        <v>0.0033</v>
      </c>
      <c r="AA46" s="182">
        <f t="shared" si="13"/>
        <v>0.0033</v>
      </c>
      <c r="AB46" s="148"/>
      <c r="AC46" s="58"/>
      <c r="AD46" t="s">
        <v>351</v>
      </c>
    </row>
    <row r="47" spans="8:31" ht="12.75" outlineLevel="1">
      <c r="H47" s="316" t="s">
        <v>349</v>
      </c>
      <c r="I47" s="173">
        <f>J47*J$21+K47*K$21+L47*L$21+M47*M$21+N47*N$21+O47*O$21+P47*P$21+Q47*Q$21+R47*R$21+S47*S$21+T47*T$21+U47*U$21+V47*V$21+W47*W$21+X47*X$21+Y47*Y$21+Z47*Z$21+AA47*AA$21</f>
        <v>0.73125</v>
      </c>
      <c r="J47" s="159"/>
      <c r="K47" s="57"/>
      <c r="L47" s="144"/>
      <c r="M47" s="253">
        <f>M16*1.5</f>
        <v>0.00375</v>
      </c>
      <c r="N47" s="253">
        <f>N16*1.5</f>
        <v>0.0075</v>
      </c>
      <c r="O47" s="251">
        <f>O16*1.5</f>
        <v>0.037500000000000006</v>
      </c>
      <c r="P47" s="253">
        <f>P16*1.5</f>
        <v>0.03</v>
      </c>
      <c r="Q47" s="250"/>
      <c r="R47" s="143"/>
      <c r="S47" s="143"/>
      <c r="T47" s="57"/>
      <c r="U47" s="57"/>
      <c r="V47" s="57"/>
      <c r="W47" s="57"/>
      <c r="X47" s="57"/>
      <c r="Y47" s="57"/>
      <c r="Z47" s="57"/>
      <c r="AA47" s="155"/>
      <c r="AB47" s="148"/>
      <c r="AC47" s="58"/>
      <c r="AE47" t="s">
        <v>350</v>
      </c>
    </row>
    <row r="48" spans="9:29" ht="12.75" hidden="1" outlineLevel="1">
      <c r="I48" s="173">
        <f>J48*J$21+K48*K$21+L48*L$21+M48*M$21+N48*N$21+O48*O$21+P48*P$21+Q48*Q$21+R48*R$21+S48*S$21+T48*T$21+U48*U$21+V48*V$21+W48*W$21+X48*X$21+Y48*Y$21+Z48*Z$21+AA48*AA$21</f>
        <v>0.14400000000000002</v>
      </c>
      <c r="J48" s="159"/>
      <c r="K48" s="57"/>
      <c r="L48" s="143">
        <f>DCB_2008_08_18!G10/1000</f>
        <v>0.04</v>
      </c>
      <c r="M48" s="144"/>
      <c r="N48" s="144"/>
      <c r="O48" s="57"/>
      <c r="P48" s="144"/>
      <c r="Q48" s="266"/>
      <c r="R48" s="57"/>
      <c r="S48" s="57"/>
      <c r="T48" s="57"/>
      <c r="U48" s="57"/>
      <c r="V48" s="57"/>
      <c r="W48" s="57"/>
      <c r="X48" s="57"/>
      <c r="Y48" s="57"/>
      <c r="Z48" s="57"/>
      <c r="AA48" s="155"/>
      <c r="AB48" s="148"/>
      <c r="AC48" s="58"/>
    </row>
    <row r="49" spans="8:29" ht="12.75" outlineLevel="1">
      <c r="H49" s="248" t="s">
        <v>362</v>
      </c>
      <c r="I49" s="173">
        <f>J49*J$21+K49*K$21+L49*L$21+M49*M$21+N49*N$21+O49*O$21+P49*P$21+Q49*Q$21+R49*R$21+S49*S$21+T49*T$21+U49*U$21+V49*V$21+W49*W$21+X49*X$21+Y49*Y$21+Z49*Z$21+AA49*AA$21</f>
        <v>2.490568410181819</v>
      </c>
      <c r="J49" s="337">
        <f>J18*1.5</f>
        <v>0.0066</v>
      </c>
      <c r="K49" s="182">
        <f>DCB_2008_08_18!G24/1000</f>
        <v>0.3732</v>
      </c>
      <c r="L49" s="182">
        <f>DCB_2008_08_18!G23/1000</f>
        <v>0.3911967806060606</v>
      </c>
      <c r="M49" s="261">
        <f>M18</f>
        <v>0.0165</v>
      </c>
      <c r="N49" s="338">
        <f>N18</f>
        <v>0.011000000000000001</v>
      </c>
      <c r="O49" s="339">
        <f>0.012</f>
        <v>0.012</v>
      </c>
      <c r="P49" s="338">
        <f>0.012</f>
        <v>0.012</v>
      </c>
      <c r="Q49" s="250"/>
      <c r="R49" s="57"/>
      <c r="S49" s="57"/>
      <c r="T49" s="57"/>
      <c r="U49" s="57"/>
      <c r="V49" s="57"/>
      <c r="W49" s="57"/>
      <c r="X49" s="57"/>
      <c r="Y49" s="57"/>
      <c r="Z49" s="57"/>
      <c r="AA49" s="155"/>
      <c r="AB49" s="148"/>
      <c r="AC49" s="58"/>
    </row>
    <row r="50" spans="8:29" ht="12.75" outlineLevel="1">
      <c r="H50" s="332" t="s">
        <v>354</v>
      </c>
      <c r="I50" s="173">
        <f>J50*J$21+K50*K$21+L50*L$21+M50*M$21+N50*N$21+O50*O$21+P50*P$21+Q50*Q$21+R50*R$21+S50*S$21+T50*T$21/2+U50*U$21/2+V50*V$21+W50*W$21+X50*X$21+Y50*Y$21+Z50*Z$21+AA50*AA$21</f>
        <v>7.039650413877897</v>
      </c>
      <c r="J50" s="340">
        <f aca="true" t="shared" si="14" ref="J50:S50">SUM(J37:J49)*$L$24</f>
        <v>0.011616</v>
      </c>
      <c r="K50" s="272">
        <f t="shared" si="14"/>
        <v>0.497112</v>
      </c>
      <c r="L50" s="142">
        <f t="shared" si="14"/>
        <v>0.3670898752</v>
      </c>
      <c r="M50" s="142">
        <f t="shared" si="14"/>
        <v>0.067485</v>
      </c>
      <c r="N50" s="142">
        <f t="shared" si="14"/>
        <v>0.07952999999999999</v>
      </c>
      <c r="O50" s="142">
        <f t="shared" si="14"/>
        <v>0.05049</v>
      </c>
      <c r="P50" s="341">
        <f t="shared" si="14"/>
        <v>0.03828</v>
      </c>
      <c r="Q50" s="271">
        <f t="shared" si="14"/>
        <v>0.0029700000000000004</v>
      </c>
      <c r="R50" s="207">
        <f t="shared" si="14"/>
        <v>0.0363</v>
      </c>
      <c r="S50" s="207">
        <f t="shared" si="14"/>
        <v>0.03498</v>
      </c>
      <c r="T50" s="327">
        <f>(SUM(T38:T49)*$W$24+$Z$25/T52+T19)/2</f>
        <v>0.006174473684210527</v>
      </c>
      <c r="U50" s="327">
        <f>(SUM(U38:U49)*$W$24+$Z$25/U52+U19)/2</f>
        <v>0.005469795321637428</v>
      </c>
      <c r="V50" s="207">
        <f aca="true" t="shared" si="15" ref="V50:AA50">SUM(V37:V49)*$L$24</f>
        <v>0.006137999999999999</v>
      </c>
      <c r="W50" s="207">
        <f t="shared" si="15"/>
        <v>0.006137999999999999</v>
      </c>
      <c r="X50" s="207">
        <f t="shared" si="15"/>
        <v>0.006137999999999999</v>
      </c>
      <c r="Y50" s="207">
        <f t="shared" si="15"/>
        <v>0.006137999999999999</v>
      </c>
      <c r="Z50" s="207">
        <f t="shared" si="15"/>
        <v>0.006137999999999999</v>
      </c>
      <c r="AA50" s="274">
        <f t="shared" si="15"/>
        <v>0.006137999999999999</v>
      </c>
      <c r="AB50" s="149"/>
      <c r="AC50" s="87"/>
    </row>
    <row r="51" spans="9:29" ht="12.75" outlineLevel="1">
      <c r="I51" s="175"/>
      <c r="J51" s="162"/>
      <c r="K51" s="89"/>
      <c r="L51" s="89"/>
      <c r="M51" s="89"/>
      <c r="N51" s="89"/>
      <c r="O51" s="89"/>
      <c r="P51" s="89"/>
      <c r="Q51" s="162"/>
      <c r="R51" s="257"/>
      <c r="S51" s="89"/>
      <c r="T51" s="89"/>
      <c r="U51" s="89"/>
      <c r="V51" s="89"/>
      <c r="W51" s="89"/>
      <c r="X51" s="89"/>
      <c r="Y51" s="89"/>
      <c r="Z51" s="89"/>
      <c r="AA51" s="163"/>
      <c r="AB51" s="90"/>
      <c r="AC51" s="90"/>
    </row>
    <row r="52" spans="9:30" ht="15">
      <c r="I52" s="176">
        <f>SUM(I37:I43)+SUM(I45:I50)</f>
        <v>16.974218824059715</v>
      </c>
      <c r="J52" s="164">
        <f aca="true" t="shared" si="16" ref="J52:AA52">J21</f>
        <v>5</v>
      </c>
      <c r="K52" s="97">
        <f t="shared" si="16"/>
        <v>1.8</v>
      </c>
      <c r="L52" s="97">
        <f t="shared" si="16"/>
        <v>3.6</v>
      </c>
      <c r="M52" s="97">
        <f t="shared" si="16"/>
        <v>5</v>
      </c>
      <c r="N52" s="97">
        <f t="shared" si="16"/>
        <v>5</v>
      </c>
      <c r="O52" s="97">
        <f t="shared" si="16"/>
        <v>10</v>
      </c>
      <c r="P52" s="262">
        <f t="shared" si="16"/>
        <v>10</v>
      </c>
      <c r="Q52" s="164">
        <f t="shared" si="16"/>
        <v>5</v>
      </c>
      <c r="R52" s="97">
        <f t="shared" si="16"/>
        <v>10</v>
      </c>
      <c r="S52" s="97">
        <f t="shared" si="16"/>
        <v>10</v>
      </c>
      <c r="T52" s="97">
        <f t="shared" si="16"/>
        <v>225</v>
      </c>
      <c r="U52" s="97">
        <f t="shared" si="16"/>
        <v>225</v>
      </c>
      <c r="V52" s="97">
        <f t="shared" si="16"/>
        <v>30</v>
      </c>
      <c r="W52" s="97">
        <f t="shared" si="16"/>
        <v>30</v>
      </c>
      <c r="X52" s="97">
        <f t="shared" si="16"/>
        <v>30</v>
      </c>
      <c r="Y52" s="97">
        <f t="shared" si="16"/>
        <v>30</v>
      </c>
      <c r="Z52" s="97">
        <f t="shared" si="16"/>
        <v>30</v>
      </c>
      <c r="AA52" s="165">
        <f t="shared" si="16"/>
        <v>30</v>
      </c>
      <c r="AB52" s="150" t="s">
        <v>80</v>
      </c>
      <c r="AC52" s="99"/>
      <c r="AD52" t="s">
        <v>352</v>
      </c>
    </row>
    <row r="53" spans="9:29" ht="15">
      <c r="I53" s="177" t="s">
        <v>252</v>
      </c>
      <c r="J53" s="166">
        <f aca="true" t="shared" si="17" ref="J53:AA53">SUM(J37:J43)+SUM(J45:J49)</f>
        <v>0.017599999999999998</v>
      </c>
      <c r="K53" s="104">
        <f t="shared" si="17"/>
        <v>0.7532</v>
      </c>
      <c r="L53" s="104">
        <f t="shared" si="17"/>
        <v>0.5561967806060606</v>
      </c>
      <c r="M53" s="104">
        <f t="shared" si="17"/>
        <v>0.10225000000000001</v>
      </c>
      <c r="N53" s="104">
        <f t="shared" si="17"/>
        <v>0.12049999999999998</v>
      </c>
      <c r="O53" s="104">
        <f t="shared" si="17"/>
        <v>0.0765</v>
      </c>
      <c r="P53" s="116">
        <f t="shared" si="17"/>
        <v>0.057999999999999996</v>
      </c>
      <c r="Q53" s="166">
        <f t="shared" si="17"/>
        <v>0.0045000000000000005</v>
      </c>
      <c r="R53" s="258">
        <f t="shared" si="17"/>
        <v>0.055</v>
      </c>
      <c r="S53" s="104">
        <f t="shared" si="17"/>
        <v>0.053</v>
      </c>
      <c r="T53" s="328">
        <f t="shared" si="17"/>
        <v>0.00557</v>
      </c>
      <c r="U53" s="328">
        <f t="shared" si="17"/>
        <v>0.00557</v>
      </c>
      <c r="V53" s="104">
        <f t="shared" si="17"/>
        <v>0.0093</v>
      </c>
      <c r="W53" s="104">
        <f t="shared" si="17"/>
        <v>0.0093</v>
      </c>
      <c r="X53" s="104">
        <f t="shared" si="17"/>
        <v>0.0093</v>
      </c>
      <c r="Y53" s="104">
        <f t="shared" si="17"/>
        <v>0.0093</v>
      </c>
      <c r="Z53" s="104">
        <f t="shared" si="17"/>
        <v>0.0093</v>
      </c>
      <c r="AA53" s="167">
        <f t="shared" si="17"/>
        <v>0.0093</v>
      </c>
      <c r="AB53" s="150" t="s">
        <v>81</v>
      </c>
      <c r="AC53" s="99"/>
    </row>
    <row r="54" spans="9:29" ht="15.75" thickBot="1">
      <c r="I54" s="178"/>
      <c r="J54" s="168">
        <f aca="true" t="shared" si="18" ref="J54:AA54">J52*J53</f>
        <v>0.088</v>
      </c>
      <c r="K54" s="181">
        <f t="shared" si="18"/>
        <v>1.35576</v>
      </c>
      <c r="L54" s="169">
        <f t="shared" si="18"/>
        <v>2.002308410181818</v>
      </c>
      <c r="M54" s="169">
        <f t="shared" si="18"/>
        <v>0.51125</v>
      </c>
      <c r="N54" s="169">
        <f t="shared" si="18"/>
        <v>0.6024999999999999</v>
      </c>
      <c r="O54" s="169">
        <f t="shared" si="18"/>
        <v>0.765</v>
      </c>
      <c r="P54" s="263">
        <f t="shared" si="18"/>
        <v>0.58</v>
      </c>
      <c r="Q54" s="168">
        <f t="shared" si="18"/>
        <v>0.022500000000000003</v>
      </c>
      <c r="R54" s="169">
        <f t="shared" si="18"/>
        <v>0.55</v>
      </c>
      <c r="S54" s="169">
        <f t="shared" si="18"/>
        <v>0.53</v>
      </c>
      <c r="T54" s="169">
        <f t="shared" si="18"/>
        <v>1.25325</v>
      </c>
      <c r="U54" s="169">
        <f t="shared" si="18"/>
        <v>1.25325</v>
      </c>
      <c r="V54" s="169">
        <f t="shared" si="18"/>
        <v>0.27899999999999997</v>
      </c>
      <c r="W54" s="169">
        <f t="shared" si="18"/>
        <v>0.27899999999999997</v>
      </c>
      <c r="X54" s="169">
        <f t="shared" si="18"/>
        <v>0.27899999999999997</v>
      </c>
      <c r="Y54" s="169">
        <f t="shared" si="18"/>
        <v>0.27899999999999997</v>
      </c>
      <c r="Z54" s="169">
        <f t="shared" si="18"/>
        <v>0.27899999999999997</v>
      </c>
      <c r="AA54" s="170">
        <f t="shared" si="18"/>
        <v>0.27899999999999997</v>
      </c>
      <c r="AB54" s="151" t="s">
        <v>4</v>
      </c>
      <c r="AC54" s="110"/>
    </row>
    <row r="56" ht="12.75">
      <c r="L56" s="139"/>
    </row>
  </sheetData>
  <mergeCells count="16">
    <mergeCell ref="D30:H30"/>
    <mergeCell ref="D26:H26"/>
    <mergeCell ref="D27:H27"/>
    <mergeCell ref="D28:H28"/>
    <mergeCell ref="D29:H29"/>
    <mergeCell ref="A3:A5"/>
    <mergeCell ref="E3:G4"/>
    <mergeCell ref="B3:D4"/>
    <mergeCell ref="J3:AC4"/>
    <mergeCell ref="I3:I4"/>
    <mergeCell ref="Q6:AA6"/>
    <mergeCell ref="Q37:AA37"/>
    <mergeCell ref="I34:I35"/>
    <mergeCell ref="J34:AC35"/>
    <mergeCell ref="J37:P37"/>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ignoredErrors>
    <ignoredError sqref="L19 F21 F6 F13" formula="1"/>
  </ignoredErrors>
  <legacyDrawing r:id="rId2"/>
</worksheet>
</file>

<file path=xl/worksheets/sheet12.xml><?xml version="1.0" encoding="utf-8"?>
<worksheet xmlns="http://schemas.openxmlformats.org/spreadsheetml/2006/main" xmlns:r="http://schemas.openxmlformats.org/officeDocument/2006/relationships">
  <dimension ref="A1:J21"/>
  <sheetViews>
    <sheetView workbookViewId="0" topLeftCell="A1">
      <selection activeCell="D10" sqref="D10"/>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27" t="s">
        <v>0</v>
      </c>
      <c r="B5" s="26" t="s">
        <v>17</v>
      </c>
      <c r="C5" s="320" t="s">
        <v>334</v>
      </c>
      <c r="D5" s="26" t="s">
        <v>132</v>
      </c>
      <c r="E5" s="26" t="s">
        <v>19</v>
      </c>
      <c r="F5" s="26" t="s">
        <v>20</v>
      </c>
      <c r="G5" s="16"/>
      <c r="H5" s="32"/>
      <c r="I5" s="8" t="s">
        <v>25</v>
      </c>
      <c r="J5" s="7"/>
    </row>
    <row r="6" spans="1:10" ht="12.75">
      <c r="A6" s="22" t="s">
        <v>5</v>
      </c>
      <c r="B6" s="21">
        <f>'Detail 2009-04-03'!E16+'Detail 2009-04-03'!E15</f>
        <v>1.7590000000000006</v>
      </c>
      <c r="C6" s="321">
        <f aca="true" t="shared" si="0" ref="C6:C13">(D6-B6)/B6</f>
        <v>-0.20409323479249605</v>
      </c>
      <c r="D6" s="21">
        <v>1.4</v>
      </c>
      <c r="E6" s="21"/>
      <c r="F6" s="21">
        <v>0</v>
      </c>
      <c r="G6" s="16"/>
      <c r="H6" s="28"/>
      <c r="I6" s="19" t="s">
        <v>357</v>
      </c>
      <c r="J6" s="13"/>
    </row>
    <row r="7" spans="1:10" ht="12.75">
      <c r="A7" s="22" t="s">
        <v>6</v>
      </c>
      <c r="B7" s="21">
        <f>'Detail 2009-04-03'!E14</f>
        <v>1.56432</v>
      </c>
      <c r="C7" s="321">
        <f t="shared" si="0"/>
        <v>0.16880657410248537</v>
      </c>
      <c r="D7" s="21">
        <v>1.8283874999999998</v>
      </c>
      <c r="E7" s="21"/>
      <c r="F7" s="21">
        <v>0</v>
      </c>
      <c r="G7" s="16"/>
      <c r="H7" s="28"/>
      <c r="I7" s="19" t="s">
        <v>357</v>
      </c>
      <c r="J7" s="13"/>
    </row>
    <row r="8" spans="1:10" ht="12.75">
      <c r="A8" s="22" t="s">
        <v>359</v>
      </c>
      <c r="B8" s="21">
        <f>'Detail 2009-04-03'!E17+'Detail 2009-04-03'!E18+'Detail 2009-04-03'!E19</f>
        <v>1.7236792000000003</v>
      </c>
      <c r="C8" s="321">
        <f t="shared" si="0"/>
        <v>0.2111579294506137</v>
      </c>
      <c r="D8" s="21">
        <v>2.0876477309090906</v>
      </c>
      <c r="E8" s="21"/>
      <c r="F8" s="21">
        <v>0</v>
      </c>
      <c r="G8" s="16"/>
      <c r="H8" s="28"/>
      <c r="I8" s="19" t="s">
        <v>357</v>
      </c>
      <c r="J8" s="13"/>
    </row>
    <row r="9" spans="1:10" ht="12.75">
      <c r="A9" s="22" t="s">
        <v>8</v>
      </c>
      <c r="B9" s="21">
        <f>'Detail 2009-04-03'!E20</f>
        <v>4.87459956</v>
      </c>
      <c r="C9" s="321">
        <f t="shared" si="0"/>
        <v>-0.07824338764762008</v>
      </c>
      <c r="D9" s="21">
        <v>4.493194377000002</v>
      </c>
      <c r="E9" s="21"/>
      <c r="F9" s="21">
        <v>0</v>
      </c>
      <c r="G9" s="16"/>
      <c r="H9" s="28"/>
      <c r="I9" s="19" t="s">
        <v>327</v>
      </c>
      <c r="J9" s="13"/>
    </row>
    <row r="10" spans="1:10" ht="12.75">
      <c r="A10" s="24" t="s">
        <v>31</v>
      </c>
      <c r="B10" s="25">
        <f>SUM(B6:B9)</f>
        <v>9.921598760000002</v>
      </c>
      <c r="C10" s="321">
        <f t="shared" si="0"/>
        <v>0.03402988329565256</v>
      </c>
      <c r="D10" s="25">
        <v>10.259229607909093</v>
      </c>
      <c r="E10" s="21">
        <f>'Detail 2009-04-03'!C28</f>
        <v>1.0533181818181818</v>
      </c>
      <c r="F10" s="25"/>
      <c r="G10" s="16"/>
      <c r="H10" s="28"/>
      <c r="I10" s="19"/>
      <c r="J10" s="13"/>
    </row>
    <row r="11" spans="1:10" ht="12.75">
      <c r="A11" s="24" t="s">
        <v>22</v>
      </c>
      <c r="B11" s="21">
        <f>'Detail 2009-04-03'!E7+'Detail 2009-04-03'!E8+'Detail 2009-04-03'!E9+'Detail 2009-04-03'!E10</f>
        <v>0.48</v>
      </c>
      <c r="C11" s="321">
        <f t="shared" si="0"/>
        <v>0.25</v>
      </c>
      <c r="D11" s="21">
        <v>0.6</v>
      </c>
      <c r="E11" s="21">
        <v>4</v>
      </c>
      <c r="F11" s="21">
        <v>0</v>
      </c>
      <c r="G11" s="16"/>
      <c r="H11" s="28"/>
      <c r="I11" s="19" t="s">
        <v>324</v>
      </c>
      <c r="J11" s="13"/>
    </row>
    <row r="12" spans="1:10" ht="13.5" thickBot="1">
      <c r="A12" s="24" t="s">
        <v>23</v>
      </c>
      <c r="B12" s="21">
        <f>'Detail 2009-04-03'!E11+'Detail 2009-04-03'!E12</f>
        <v>0.24</v>
      </c>
      <c r="C12" s="321">
        <f t="shared" si="0"/>
        <v>0.25</v>
      </c>
      <c r="D12" s="21">
        <v>0.3</v>
      </c>
      <c r="E12" s="21">
        <v>4</v>
      </c>
      <c r="F12" s="21">
        <v>0</v>
      </c>
      <c r="G12" s="16"/>
      <c r="H12" s="28"/>
      <c r="I12" s="19" t="s">
        <v>324</v>
      </c>
      <c r="J12" s="13"/>
    </row>
    <row r="13" spans="1:10" ht="13.5" thickBot="1">
      <c r="A13" s="33" t="s">
        <v>2</v>
      </c>
      <c r="B13" s="34">
        <f>SUM(B10:B12)</f>
        <v>10.641598760000003</v>
      </c>
      <c r="C13" s="325">
        <f t="shared" si="0"/>
        <v>0.04864220683218946</v>
      </c>
      <c r="D13" s="34">
        <v>11.159229607909094</v>
      </c>
      <c r="E13" s="23"/>
      <c r="F13" s="23"/>
      <c r="G13" s="16"/>
      <c r="H13" s="187"/>
      <c r="I13" s="15"/>
      <c r="J13" s="13"/>
    </row>
    <row r="14" spans="7:8" ht="13.5" thickTop="1">
      <c r="G14" s="16"/>
      <c r="H14" s="31"/>
    </row>
    <row r="15" spans="1:8" ht="12.75">
      <c r="A15" t="s">
        <v>358</v>
      </c>
      <c r="H15" s="31"/>
    </row>
    <row r="16" ht="12.75">
      <c r="A16" t="s">
        <v>35</v>
      </c>
    </row>
    <row r="17" ht="12.75">
      <c r="A17" t="s">
        <v>329</v>
      </c>
    </row>
    <row r="18" ht="12.75">
      <c r="A18" t="s">
        <v>360</v>
      </c>
    </row>
    <row r="19" ht="12.75">
      <c r="A19" t="s">
        <v>328</v>
      </c>
    </row>
    <row r="20" ht="12.75">
      <c r="A20" s="282" t="s">
        <v>269</v>
      </c>
    </row>
    <row r="21" ht="12.75">
      <c r="A21"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E58"/>
  <sheetViews>
    <sheet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AB30" sqref="AB30"/>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145" t="s">
        <v>62</v>
      </c>
      <c r="AC5" s="50" t="s">
        <v>63</v>
      </c>
    </row>
    <row r="6" spans="1:29" s="53" customFormat="1" ht="15.75">
      <c r="A6" s="72" t="s">
        <v>66</v>
      </c>
      <c r="B6" s="73"/>
      <c r="C6" s="73"/>
      <c r="D6" s="74" t="str">
        <f aca="true" t="shared" si="0" ref="D6:D20">IF($C6="Concept",0.25,IF($C6="Design",0.15,IF($C6="Prior",0.075,IF($C6="Fab",0.04,IF($C6="Flight",0.02," ")))))</f>
        <v> </v>
      </c>
      <c r="E6" s="119">
        <f>SUM(E7:E12)</f>
        <v>0.72</v>
      </c>
      <c r="F6" s="120">
        <f aca="true" t="shared" si="1" ref="F6:F20">(G6-E6)/E6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30" t="s">
        <v>65</v>
      </c>
      <c r="D7" s="59">
        <f t="shared" si="0"/>
        <v>0.25</v>
      </c>
      <c r="E7" s="67">
        <f aca="true" t="shared" si="2" ref="E7:E12">I7</f>
        <v>0.12</v>
      </c>
      <c r="F7" s="68">
        <f t="shared" si="1"/>
        <v>0.25</v>
      </c>
      <c r="G7" s="118">
        <f aca="true" t="shared" si="3" ref="G7:G12">0.15</f>
        <v>0.15</v>
      </c>
      <c r="H7" s="70"/>
      <c r="I7" s="173">
        <f aca="true" t="shared" si="4" ref="I7:I12">J7*J$22+K7*K$22+L7*L$22+M7*M$22+N7*N$22+O7*O$22+P7*P$22+Q7*Q$22+R7*R$22+S7*S$22+T7*T$22+U7*U$22+V7*V$22+W7*W$22+X7*X$22+Y7*Y$22+Z7*Z$22+AA7*AA$22</f>
        <v>0.12</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30" t="s">
        <v>65</v>
      </c>
      <c r="D8" s="59">
        <f t="shared" si="0"/>
        <v>0.25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30" t="s">
        <v>65</v>
      </c>
      <c r="D9" s="59">
        <f t="shared" si="0"/>
        <v>0.25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30" t="s">
        <v>65</v>
      </c>
      <c r="D10" s="59">
        <f t="shared" si="0"/>
        <v>0.25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30" t="s">
        <v>65</v>
      </c>
      <c r="D11" s="59">
        <f t="shared" si="0"/>
        <v>0.25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30" t="s">
        <v>65</v>
      </c>
      <c r="D12" s="59">
        <f t="shared" si="0"/>
        <v>0.25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57">
        <v>0.004</v>
      </c>
      <c r="AB12" s="147">
        <f>28/31</f>
        <v>0.9032258064516129</v>
      </c>
      <c r="AC12" s="60"/>
    </row>
    <row r="13" spans="1:29" s="53" customFormat="1" ht="15.75" outlineLevel="1">
      <c r="A13" s="72" t="s">
        <v>73</v>
      </c>
      <c r="B13" s="73"/>
      <c r="C13" s="73"/>
      <c r="D13" s="74" t="str">
        <f t="shared" si="0"/>
        <v> </v>
      </c>
      <c r="E13" s="119">
        <f>SUM(E14:E20)</f>
        <v>9.921598760000002</v>
      </c>
      <c r="F13" s="120">
        <f t="shared" si="1"/>
        <v>0.03402988329565239</v>
      </c>
      <c r="G13" s="121">
        <f>SUM(G14:G20)</f>
        <v>10.259229607909091</v>
      </c>
      <c r="H13" s="61"/>
      <c r="I13" s="174"/>
      <c r="J13" s="156"/>
      <c r="K13" s="51"/>
      <c r="L13" s="51"/>
      <c r="M13" s="51"/>
      <c r="N13" s="51"/>
      <c r="O13" s="51"/>
      <c r="P13" s="260"/>
      <c r="Q13" s="265"/>
      <c r="R13" s="51"/>
      <c r="S13" s="51"/>
      <c r="T13" s="51"/>
      <c r="U13" s="51"/>
      <c r="V13" s="51"/>
      <c r="W13" s="51"/>
      <c r="X13" s="51"/>
      <c r="Y13" s="51"/>
      <c r="Z13" s="51"/>
      <c r="AA13" s="157"/>
      <c r="AB13" s="146"/>
      <c r="AC13" s="52"/>
    </row>
    <row r="14" spans="1:31" ht="12.75" outlineLevel="1">
      <c r="A14" s="64" t="s">
        <v>74</v>
      </c>
      <c r="B14" s="76" t="s">
        <v>13</v>
      </c>
      <c r="C14" s="30" t="s">
        <v>65</v>
      </c>
      <c r="D14" s="77">
        <f t="shared" si="0"/>
        <v>0.25</v>
      </c>
      <c r="E14" s="70">
        <f aca="true" t="shared" si="5" ref="E14:E20">I14</f>
        <v>1.56432</v>
      </c>
      <c r="F14" s="68">
        <f t="shared" si="1"/>
        <v>0.16880657410248537</v>
      </c>
      <c r="G14" s="118">
        <v>1.8283874999999998</v>
      </c>
      <c r="H14" s="70"/>
      <c r="I14" s="173">
        <f aca="true" t="shared" si="6" ref="I14:I20">J14*J$22+K14*K$22+L14*L$22+M14*M$22+N14*N$22+O14*O$22+P14*P$22+Q14*Q$22+R14*R$22+S14*S$22+T14*T$22+U14*U$22+V14*V$22+W14*W$22+X14*X$22+Y14*Y$22+Z14*Z$22+AA14*AA$22</f>
        <v>1.56432</v>
      </c>
      <c r="J14" s="159">
        <f>0.014*1.1</f>
        <v>0.015400000000000002</v>
      </c>
      <c r="K14" s="57">
        <f>DFB_Typ_2008_07_07!T33/1000</f>
        <v>0.19</v>
      </c>
      <c r="L14" s="57">
        <f>0.017*1.1</f>
        <v>0.0187</v>
      </c>
      <c r="M14" s="57">
        <f>0.06*1.1</f>
        <v>0.066</v>
      </c>
      <c r="N14" s="144">
        <f>0.08*1.1</f>
        <v>0.08800000000000001</v>
      </c>
      <c r="O14" s="207">
        <f>0.014*1.1</f>
        <v>0.015400000000000002</v>
      </c>
      <c r="P14" s="144">
        <f>0.014*1.1</f>
        <v>0.015400000000000002</v>
      </c>
      <c r="Q14" s="266"/>
      <c r="R14" s="143"/>
      <c r="S14" s="143"/>
      <c r="T14" s="57"/>
      <c r="U14" s="57"/>
      <c r="V14" s="57"/>
      <c r="W14" s="57"/>
      <c r="X14" s="57"/>
      <c r="Y14" s="57"/>
      <c r="Z14" s="57"/>
      <c r="AA14" s="155"/>
      <c r="AB14" s="148"/>
      <c r="AC14" s="58"/>
      <c r="AE14" t="s">
        <v>355</v>
      </c>
    </row>
    <row r="15" spans="1:29" ht="12.75" outlineLevel="1">
      <c r="A15" s="64" t="s">
        <v>117</v>
      </c>
      <c r="B15" s="54"/>
      <c r="C15" s="30" t="s">
        <v>65</v>
      </c>
      <c r="D15" s="59">
        <f t="shared" si="0"/>
        <v>0.25</v>
      </c>
      <c r="E15" s="67">
        <f t="shared" si="5"/>
        <v>0.36000000000000004</v>
      </c>
      <c r="F15" s="68">
        <f t="shared" si="1"/>
        <v>0.2499999999999999</v>
      </c>
      <c r="G15" s="118">
        <v>0.45</v>
      </c>
      <c r="H15" s="70"/>
      <c r="I15" s="173">
        <f t="shared" si="6"/>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31" ht="12.75" outlineLevel="1">
      <c r="A16" s="64" t="s">
        <v>75</v>
      </c>
      <c r="B16" s="65" t="s">
        <v>13</v>
      </c>
      <c r="C16" s="30" t="s">
        <v>65</v>
      </c>
      <c r="D16" s="59">
        <f t="shared" si="0"/>
        <v>0.25</v>
      </c>
      <c r="E16" s="67">
        <f t="shared" si="5"/>
        <v>1.3990000000000005</v>
      </c>
      <c r="F16" s="68">
        <f t="shared" si="1"/>
        <v>0.0007147962830589317</v>
      </c>
      <c r="G16" s="118">
        <v>1.4</v>
      </c>
      <c r="H16" s="70"/>
      <c r="I16" s="173">
        <f t="shared" si="6"/>
        <v>1.3990000000000005</v>
      </c>
      <c r="J16" s="159"/>
      <c r="K16" s="57"/>
      <c r="L16" s="57"/>
      <c r="M16" s="57"/>
      <c r="N16" s="57"/>
      <c r="O16" s="182"/>
      <c r="P16" s="261"/>
      <c r="Q16" s="267">
        <v>0.016</v>
      </c>
      <c r="R16" s="57">
        <v>0.03</v>
      </c>
      <c r="S16" s="57">
        <v>0.02</v>
      </c>
      <c r="T16" s="326">
        <v>0.0011</v>
      </c>
      <c r="U16" s="326">
        <v>0.0011</v>
      </c>
      <c r="V16" s="57">
        <v>0.0018</v>
      </c>
      <c r="W16" s="57">
        <v>0.0018</v>
      </c>
      <c r="X16" s="57">
        <v>0.0018</v>
      </c>
      <c r="Y16" s="57">
        <v>0.0018</v>
      </c>
      <c r="Z16" s="57">
        <v>0.0018</v>
      </c>
      <c r="AA16" s="57">
        <v>0.0018</v>
      </c>
      <c r="AB16" s="148"/>
      <c r="AC16" s="58"/>
      <c r="AE16" t="s">
        <v>356</v>
      </c>
    </row>
    <row r="17" spans="1:29" ht="12.75" outlineLevel="1">
      <c r="A17" s="64" t="s">
        <v>76</v>
      </c>
      <c r="B17" s="65" t="s">
        <v>13</v>
      </c>
      <c r="C17" s="30" t="s">
        <v>65</v>
      </c>
      <c r="D17" s="59">
        <f t="shared" si="0"/>
        <v>0.25</v>
      </c>
      <c r="E17" s="67">
        <f t="shared" si="5"/>
        <v>0.4875</v>
      </c>
      <c r="F17" s="68">
        <f t="shared" si="1"/>
        <v>0.25000000000000006</v>
      </c>
      <c r="G17" s="118">
        <v>0.609375</v>
      </c>
      <c r="H17" s="70"/>
      <c r="I17" s="173">
        <f t="shared" si="6"/>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30" t="s">
        <v>65</v>
      </c>
      <c r="D18" s="59">
        <f t="shared" si="0"/>
        <v>0.25</v>
      </c>
      <c r="E18" s="67">
        <f t="shared" si="5"/>
        <v>0.07200000000000001</v>
      </c>
      <c r="F18" s="68">
        <f t="shared" si="1"/>
        <v>0.2499999999999998</v>
      </c>
      <c r="G18" s="118">
        <v>0.09</v>
      </c>
      <c r="H18" s="70"/>
      <c r="I18" s="173">
        <f t="shared" si="6"/>
        <v>0.07200000000000001</v>
      </c>
      <c r="J18" s="159"/>
      <c r="K18" s="57"/>
      <c r="L18" s="323">
        <f>L50*L28</f>
        <v>0.02</v>
      </c>
      <c r="M18" s="57"/>
      <c r="N18" s="57"/>
      <c r="O18" s="57"/>
      <c r="P18" s="144"/>
      <c r="Q18" s="266"/>
      <c r="R18" s="57"/>
      <c r="S18" s="57"/>
      <c r="T18" s="57"/>
      <c r="U18" s="57"/>
      <c r="V18" s="57"/>
      <c r="W18" s="57"/>
      <c r="X18" s="57"/>
      <c r="Y18" s="57"/>
      <c r="Z18" s="57"/>
      <c r="AA18" s="155"/>
      <c r="AB18" s="148"/>
      <c r="AC18" s="58"/>
    </row>
    <row r="19" spans="1:31" ht="12.75" outlineLevel="1">
      <c r="A19" s="64" t="s">
        <v>77</v>
      </c>
      <c r="B19" s="65"/>
      <c r="C19" s="30" t="s">
        <v>65</v>
      </c>
      <c r="D19" s="59">
        <f t="shared" si="0"/>
        <v>0.25</v>
      </c>
      <c r="E19" s="67">
        <f t="shared" si="5"/>
        <v>1.1641792000000002</v>
      </c>
      <c r="F19" s="68">
        <f t="shared" si="1"/>
        <v>0.19249058126883775</v>
      </c>
      <c r="G19" s="118">
        <v>1.3882727309090908</v>
      </c>
      <c r="H19" s="70"/>
      <c r="I19" s="173">
        <f t="shared" si="6"/>
        <v>1.1641792000000002</v>
      </c>
      <c r="J19" s="159">
        <f>0.004*1.1</f>
        <v>0.0044</v>
      </c>
      <c r="K19" s="57">
        <f>DCB_2008_08_18!$H$24*(1+L29)/1000</f>
        <v>0.250044</v>
      </c>
      <c r="L19" s="57">
        <f>0.135*1.1</f>
        <v>0.14850000000000002</v>
      </c>
      <c r="M19" s="57">
        <f>0.015*1.1</f>
        <v>0.0165</v>
      </c>
      <c r="N19" s="144">
        <f>0.01*1.1</f>
        <v>0.011000000000000001</v>
      </c>
      <c r="O19" s="185">
        <v>0.001</v>
      </c>
      <c r="P19" s="115">
        <v>0.001</v>
      </c>
      <c r="Q19" s="266"/>
      <c r="R19" s="57"/>
      <c r="S19" s="57"/>
      <c r="T19" s="57"/>
      <c r="U19" s="57"/>
      <c r="V19" s="57"/>
      <c r="W19" s="57"/>
      <c r="X19" s="57"/>
      <c r="Y19" s="57"/>
      <c r="Z19" s="57"/>
      <c r="AA19" s="155"/>
      <c r="AB19" s="148"/>
      <c r="AC19" s="58"/>
      <c r="AE19" t="s">
        <v>355</v>
      </c>
    </row>
    <row r="20" spans="1:29" ht="12.75" outlineLevel="1">
      <c r="A20" s="80" t="s">
        <v>78</v>
      </c>
      <c r="B20" s="81" t="s">
        <v>13</v>
      </c>
      <c r="C20" s="330" t="s">
        <v>65</v>
      </c>
      <c r="D20" s="83">
        <f t="shared" si="0"/>
        <v>0.25</v>
      </c>
      <c r="E20" s="84">
        <f t="shared" si="5"/>
        <v>4.87459956</v>
      </c>
      <c r="F20" s="135">
        <f t="shared" si="1"/>
        <v>-0.07824338764762008</v>
      </c>
      <c r="G20" s="136">
        <v>4.493194377000002</v>
      </c>
      <c r="H20" s="70"/>
      <c r="I20" s="173">
        <f t="shared" si="6"/>
        <v>4.87459956</v>
      </c>
      <c r="J20" s="271">
        <f aca="true" t="shared" si="7" ref="J20:S20">SUM(J6:J19)*$L$25</f>
        <v>0.010890000000000002</v>
      </c>
      <c r="K20" s="272">
        <f t="shared" si="7"/>
        <v>0.24202420000000002</v>
      </c>
      <c r="L20" s="142">
        <f t="shared" si="7"/>
        <v>0.10296000000000002</v>
      </c>
      <c r="M20" s="207">
        <f t="shared" si="7"/>
        <v>0.04675000000000001</v>
      </c>
      <c r="N20" s="207">
        <f t="shared" si="7"/>
        <v>0.05720000000000001</v>
      </c>
      <c r="O20" s="207">
        <f t="shared" si="7"/>
        <v>0.022770000000000006</v>
      </c>
      <c r="P20" s="273">
        <f t="shared" si="7"/>
        <v>0.020020000000000003</v>
      </c>
      <c r="Q20" s="271">
        <f t="shared" si="7"/>
        <v>0.0088</v>
      </c>
      <c r="R20" s="207">
        <f t="shared" si="7"/>
        <v>0.026400000000000003</v>
      </c>
      <c r="S20" s="207">
        <f t="shared" si="7"/>
        <v>0.020900000000000005</v>
      </c>
      <c r="T20" s="327">
        <f>SUM(T6:T19)*$W$25+$Z$26/T22</f>
        <v>0.004388888888888889</v>
      </c>
      <c r="U20" s="327">
        <f>SUM(U6:U19)*$W$25+$Z$26/U22</f>
        <v>0.004388888888888889</v>
      </c>
      <c r="V20" s="207">
        <f aca="true" t="shared" si="8" ref="V20:AA20">SUM(V6:V19)*$L$25</f>
        <v>0.00319</v>
      </c>
      <c r="W20" s="207">
        <f t="shared" si="8"/>
        <v>0.00319</v>
      </c>
      <c r="X20" s="207">
        <f t="shared" si="8"/>
        <v>0.00319</v>
      </c>
      <c r="Y20" s="207">
        <f t="shared" si="8"/>
        <v>0.00319</v>
      </c>
      <c r="Z20" s="207">
        <f t="shared" si="8"/>
        <v>0.00319</v>
      </c>
      <c r="AA20" s="274">
        <f t="shared" si="8"/>
        <v>0.00319</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10.641598760000003</v>
      </c>
      <c r="F22" s="240">
        <f>(G22-E22)/E22</f>
        <v>0.04864220683218929</v>
      </c>
      <c r="G22" s="241">
        <f>SUM(G13+G6)</f>
        <v>11.159229607909092</v>
      </c>
      <c r="H22" s="94"/>
      <c r="I22" s="176">
        <f>SUM(I6:I12)+SUM(I14:I20)</f>
        <v>10.641598760000003</v>
      </c>
      <c r="J22" s="164">
        <v>5</v>
      </c>
      <c r="K22" s="97">
        <v>1.8</v>
      </c>
      <c r="L22" s="97">
        <v>3.6</v>
      </c>
      <c r="M22" s="97">
        <v>5</v>
      </c>
      <c r="N22" s="97">
        <v>5</v>
      </c>
      <c r="O22" s="97">
        <v>10</v>
      </c>
      <c r="P22" s="262">
        <v>10</v>
      </c>
      <c r="Q22" s="268">
        <v>5</v>
      </c>
      <c r="R22" s="97">
        <v>10</v>
      </c>
      <c r="S22" s="97">
        <v>10</v>
      </c>
      <c r="T22" s="97">
        <v>225</v>
      </c>
      <c r="U22" s="97">
        <v>225</v>
      </c>
      <c r="V22" s="97">
        <v>30</v>
      </c>
      <c r="W22" s="97">
        <v>30</v>
      </c>
      <c r="X22" s="97">
        <v>30</v>
      </c>
      <c r="Y22" s="97">
        <v>30</v>
      </c>
      <c r="Z22" s="97">
        <v>30</v>
      </c>
      <c r="AA22" s="165">
        <v>30</v>
      </c>
      <c r="AB22" s="150" t="s">
        <v>80</v>
      </c>
      <c r="AC22" s="99"/>
    </row>
    <row r="23" spans="1:29" s="53" customFormat="1" ht="16.5" thickBot="1">
      <c r="A23" s="100"/>
      <c r="B23" s="63"/>
      <c r="C23" s="101"/>
      <c r="D23" s="242" t="s">
        <v>252</v>
      </c>
      <c r="E23" s="244">
        <f>I54</f>
        <v>16.887983535781817</v>
      </c>
      <c r="F23" s="331">
        <f>(G23-E23)/E23</f>
        <v>0.3721590828710635</v>
      </c>
      <c r="G23" s="245">
        <v>23.173</v>
      </c>
      <c r="H23" s="94"/>
      <c r="I23" s="177" t="s">
        <v>258</v>
      </c>
      <c r="J23" s="166">
        <f aca="true" t="shared" si="9" ref="J23:AA23">SUM(J6:J12)+SUM(J14:J19)</f>
        <v>0.0198</v>
      </c>
      <c r="K23" s="104">
        <f t="shared" si="9"/>
        <v>0.440044</v>
      </c>
      <c r="L23" s="104">
        <f t="shared" si="9"/>
        <v>0.18720000000000003</v>
      </c>
      <c r="M23" s="104">
        <f t="shared" si="9"/>
        <v>0.085</v>
      </c>
      <c r="N23" s="104">
        <f t="shared" si="9"/>
        <v>0.10400000000000001</v>
      </c>
      <c r="O23" s="104">
        <f t="shared" si="9"/>
        <v>0.041400000000000006</v>
      </c>
      <c r="P23" s="116">
        <f t="shared" si="9"/>
        <v>0.0364</v>
      </c>
      <c r="Q23" s="269">
        <f t="shared" si="9"/>
        <v>0.016</v>
      </c>
      <c r="R23" s="258">
        <f t="shared" si="9"/>
        <v>0.048</v>
      </c>
      <c r="S23" s="104">
        <f t="shared" si="9"/>
        <v>0.038000000000000006</v>
      </c>
      <c r="T23" s="328">
        <f t="shared" si="9"/>
        <v>0.0011</v>
      </c>
      <c r="U23" s="328">
        <f t="shared" si="9"/>
        <v>0.0011</v>
      </c>
      <c r="V23" s="104">
        <f t="shared" si="9"/>
        <v>0.0058</v>
      </c>
      <c r="W23" s="104">
        <f t="shared" si="9"/>
        <v>0.0058</v>
      </c>
      <c r="X23" s="104">
        <f t="shared" si="9"/>
        <v>0.0058</v>
      </c>
      <c r="Y23" s="104">
        <f t="shared" si="9"/>
        <v>0.0058</v>
      </c>
      <c r="Z23" s="104">
        <f t="shared" si="9"/>
        <v>0.0058</v>
      </c>
      <c r="AA23" s="167">
        <f t="shared" si="9"/>
        <v>0.0058</v>
      </c>
      <c r="AB23" s="150" t="s">
        <v>81</v>
      </c>
      <c r="AC23" s="99"/>
    </row>
    <row r="24" spans="1:29" s="53" customFormat="1" ht="16.5" thickBot="1">
      <c r="A24"/>
      <c r="B24" s="66"/>
      <c r="H24" s="105"/>
      <c r="I24" s="178"/>
      <c r="J24" s="168">
        <f aca="true" t="shared" si="10" ref="J24:AA24">J22*J23</f>
        <v>0.099</v>
      </c>
      <c r="K24" s="181">
        <f t="shared" si="10"/>
        <v>0.7920792</v>
      </c>
      <c r="L24" s="169">
        <f t="shared" si="10"/>
        <v>0.6739200000000002</v>
      </c>
      <c r="M24" s="169">
        <f t="shared" si="10"/>
        <v>0.42500000000000004</v>
      </c>
      <c r="N24" s="169">
        <f t="shared" si="10"/>
        <v>0.52</v>
      </c>
      <c r="O24" s="169">
        <f t="shared" si="10"/>
        <v>0.41400000000000003</v>
      </c>
      <c r="P24" s="263">
        <f t="shared" si="10"/>
        <v>0.364</v>
      </c>
      <c r="Q24" s="270">
        <f t="shared" si="10"/>
        <v>0.08</v>
      </c>
      <c r="R24" s="169">
        <f t="shared" si="10"/>
        <v>0.48</v>
      </c>
      <c r="S24" s="169">
        <f t="shared" si="10"/>
        <v>0.38000000000000006</v>
      </c>
      <c r="T24" s="169">
        <f t="shared" si="10"/>
        <v>0.24750000000000003</v>
      </c>
      <c r="U24" s="169">
        <f t="shared" si="10"/>
        <v>0.24750000000000003</v>
      </c>
      <c r="V24" s="169">
        <f t="shared" si="10"/>
        <v>0.174</v>
      </c>
      <c r="W24" s="169">
        <f t="shared" si="10"/>
        <v>0.174</v>
      </c>
      <c r="X24" s="169">
        <f t="shared" si="10"/>
        <v>0.174</v>
      </c>
      <c r="Y24" s="169">
        <f t="shared" si="10"/>
        <v>0.174</v>
      </c>
      <c r="Z24" s="169">
        <f t="shared" si="10"/>
        <v>0.174</v>
      </c>
      <c r="AA24" s="170">
        <f t="shared" si="10"/>
        <v>0.174</v>
      </c>
      <c r="AB24" s="151" t="s">
        <v>4</v>
      </c>
      <c r="AC24" s="110"/>
    </row>
    <row r="25" spans="1:29" s="53" customFormat="1" ht="15.75" outlineLevel="1">
      <c r="A25"/>
      <c r="B25" s="39"/>
      <c r="C25" s="63"/>
      <c r="D25" s="63"/>
      <c r="E25" s="112"/>
      <c r="F25" s="112"/>
      <c r="G25" s="112"/>
      <c r="H25" s="94"/>
      <c r="I25" s="1" t="s">
        <v>82</v>
      </c>
      <c r="L25" s="112">
        <v>0.55</v>
      </c>
      <c r="M25" s="113"/>
      <c r="N25" s="79" t="s">
        <v>261</v>
      </c>
      <c r="P25" s="79">
        <f>1/(1+L25)</f>
        <v>0.6451612903225806</v>
      </c>
      <c r="Q25" s="53" t="s">
        <v>262</v>
      </c>
      <c r="S25" s="1" t="s">
        <v>326</v>
      </c>
      <c r="T25" s="319"/>
      <c r="U25" s="319"/>
      <c r="V25" s="319"/>
      <c r="W25" s="1">
        <f>(1/Z25-Z26/(T22*0.006)-1)</f>
        <v>2.7777777777777777</v>
      </c>
      <c r="X25" s="79" t="s">
        <v>261</v>
      </c>
      <c r="Z25" s="318">
        <v>0.25</v>
      </c>
      <c r="AA25" s="53" t="s">
        <v>262</v>
      </c>
      <c r="AC25" s="71"/>
    </row>
    <row r="26" spans="2:27" ht="12.75" outlineLevel="1">
      <c r="B26" s="39"/>
      <c r="C26" s="65"/>
      <c r="D26" s="114"/>
      <c r="E26" s="115"/>
      <c r="F26" s="70"/>
      <c r="G26" s="116"/>
      <c r="I26" s="113" t="s">
        <v>125</v>
      </c>
      <c r="O26" s="138"/>
      <c r="X26" t="s">
        <v>353</v>
      </c>
      <c r="Z26">
        <v>0.3</v>
      </c>
      <c r="AA26" t="s">
        <v>44</v>
      </c>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11.159229607909092</v>
      </c>
      <c r="C28" s="131">
        <f>G23/B33</f>
        <v>1.0533181818181818</v>
      </c>
      <c r="D28" s="450" t="s">
        <v>253</v>
      </c>
      <c r="E28" s="450"/>
      <c r="F28" s="450"/>
      <c r="G28" s="450"/>
      <c r="H28" s="450"/>
      <c r="I28"/>
      <c r="L28" s="324">
        <v>0.5</v>
      </c>
      <c r="M28" t="s">
        <v>346</v>
      </c>
    </row>
    <row r="29" spans="1:21" ht="12.75" outlineLevel="1">
      <c r="A29" s="132" t="s">
        <v>313</v>
      </c>
      <c r="B29" s="21">
        <v>10</v>
      </c>
      <c r="C29" s="131">
        <f>35/F39</f>
        <v>0.2857142857142857</v>
      </c>
      <c r="D29" s="449" t="s">
        <v>333</v>
      </c>
      <c r="E29" s="450"/>
      <c r="F29" s="450"/>
      <c r="G29" s="450"/>
      <c r="H29" s="450"/>
      <c r="L29" s="324">
        <v>0.34</v>
      </c>
      <c r="M29" t="s">
        <v>347</v>
      </c>
      <c r="U29" s="113"/>
    </row>
    <row r="30" spans="1:9" ht="12.75" outlineLevel="1">
      <c r="A30" s="132" t="s">
        <v>99</v>
      </c>
      <c r="B30" s="21">
        <f>C38*B34</f>
        <v>11.804545454545453</v>
      </c>
      <c r="C30" s="21">
        <f>MAX(C37,C40)</f>
        <v>1.9125683060109289</v>
      </c>
      <c r="D30" s="449" t="s">
        <v>115</v>
      </c>
      <c r="E30" s="450"/>
      <c r="F30" s="450"/>
      <c r="G30" s="450"/>
      <c r="H30" s="450"/>
      <c r="I30" s="79"/>
    </row>
    <row r="31" spans="1:13" ht="12.75" outlineLevel="1">
      <c r="A31" s="132" t="s">
        <v>100</v>
      </c>
      <c r="B31" s="21">
        <f>C38*B34</f>
        <v>11.804545454545453</v>
      </c>
      <c r="C31" s="21">
        <f>MAX(C36,C39,C40)</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273</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271</v>
      </c>
      <c r="B37" s="2"/>
      <c r="C37" s="128">
        <f>B34/F37</f>
        <v>1.9125683060109289</v>
      </c>
      <c r="D37" s="127" t="s">
        <v>111</v>
      </c>
      <c r="E37" s="113"/>
      <c r="F37" s="129">
        <f>36.6/2</f>
        <v>18.3</v>
      </c>
      <c r="G37" s="113" t="s">
        <v>102</v>
      </c>
      <c r="I37" s="171" t="s">
        <v>46</v>
      </c>
      <c r="J37" s="152" t="str">
        <f aca="true" t="shared" si="11" ref="J37:AA37">J5</f>
        <v>+5V D</v>
      </c>
      <c r="K37" s="152" t="str">
        <f t="shared" si="11"/>
        <v> +1.8V D</v>
      </c>
      <c r="L37" s="152" t="str">
        <f t="shared" si="11"/>
        <v>+3.6D (1)</v>
      </c>
      <c r="M37" s="152" t="str">
        <f t="shared" si="11"/>
        <v>+5V A</v>
      </c>
      <c r="N37" s="152" t="str">
        <f t="shared" si="11"/>
        <v>-5V A</v>
      </c>
      <c r="O37" s="152" t="str">
        <f t="shared" si="11"/>
        <v>+10VA</v>
      </c>
      <c r="P37" s="152" t="str">
        <f t="shared" si="11"/>
        <v>-10VA</v>
      </c>
      <c r="Q37" s="152" t="str">
        <f t="shared" si="11"/>
        <v>+5V D</v>
      </c>
      <c r="R37" s="152" t="str">
        <f t="shared" si="11"/>
        <v>+10V A</v>
      </c>
      <c r="S37" s="152" t="str">
        <f t="shared" si="11"/>
        <v>-10V A</v>
      </c>
      <c r="T37" s="152" t="str">
        <f t="shared" si="11"/>
        <v>+225V</v>
      </c>
      <c r="U37" s="152" t="str">
        <f t="shared" si="11"/>
        <v>-225V</v>
      </c>
      <c r="V37" s="152" t="str">
        <f t="shared" si="11"/>
        <v>+/-15F1</v>
      </c>
      <c r="W37" s="152" t="str">
        <f t="shared" si="11"/>
        <v>+/-15F2</v>
      </c>
      <c r="X37" s="152" t="str">
        <f t="shared" si="11"/>
        <v>+/-15F3</v>
      </c>
      <c r="Y37" s="152" t="str">
        <f t="shared" si="11"/>
        <v>+/-15F4</v>
      </c>
      <c r="Z37" s="152" t="str">
        <f t="shared" si="11"/>
        <v>+/-10F5</v>
      </c>
      <c r="AA37" s="152" t="str">
        <f t="shared" si="11"/>
        <v>+/-15F6</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314</v>
      </c>
      <c r="C39" s="125">
        <f>B34/F39</f>
        <v>0.2857142857142857</v>
      </c>
      <c r="D39" s="127" t="s">
        <v>111</v>
      </c>
      <c r="E39" s="113"/>
      <c r="F39" s="126">
        <f>(B34*B34)/B29</f>
        <v>122.5</v>
      </c>
      <c r="G39" s="113" t="s">
        <v>102</v>
      </c>
      <c r="I39" s="173">
        <f aca="true" t="shared" si="12" ref="I39:I44">J39*J$22+K39*K$22+L39*L$22+M39*M$22+N39*N$22+O39*O$22+P39*P$22+Q39*Q$22+R39*R$22+S39*S$22+T39*T$22+U39*U$22+V39*V$22+W39*W$22+X39*X$22+Y39*Y$22+Z39*Z$22+AA39*AA$22</f>
        <v>0.18</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1:29" ht="12.75" outlineLevel="1">
      <c r="A40" s="79" t="s">
        <v>272</v>
      </c>
      <c r="C40" s="284">
        <v>1.5</v>
      </c>
      <c r="D40" s="285" t="s">
        <v>312</v>
      </c>
      <c r="I40" s="173">
        <f t="shared" si="12"/>
        <v>0.18</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4:29" ht="12.75" outlineLevel="1">
      <c r="D41" s="285" t="s">
        <v>274</v>
      </c>
      <c r="I41" s="173">
        <f t="shared" si="12"/>
        <v>0.18</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2"/>
        <v>0.18</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2"/>
        <v>0.18</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4:29" ht="12.75" outlineLevel="1">
      <c r="D44" s="16">
        <f>B34*B34/F37</f>
        <v>66.93989071038251</v>
      </c>
      <c r="I44" s="173">
        <f t="shared" si="12"/>
        <v>0.18</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311</v>
      </c>
      <c r="I46" s="173">
        <f>J46*J$22+K46*K$22+L46*L$22+M46*M$22+N46*N$22+O46*O$22+P46*P$22+Q46*Q$22+R46*R$22+S46*S$22+T46*T$22+U46*U$22+V46*V$22+W46*W$22+X46*X$22+Y46*Y$22+Z46*Z$22+AA46*AA$22</f>
        <v>2.5803</v>
      </c>
      <c r="J46" s="275">
        <f>DFB_Max_2008_07_07!W33/1000</f>
        <v>0.0147</v>
      </c>
      <c r="K46" s="277">
        <f>DFB_Max_2008_07_07!T33/1000</f>
        <v>0.38</v>
      </c>
      <c r="L46" s="278">
        <f>DFB_Max_2008_07_07!Q33/1000</f>
        <v>0.118</v>
      </c>
      <c r="M46" s="277">
        <f>DFB_Max_2008_07_07!K33/1000</f>
        <v>0.0829</v>
      </c>
      <c r="N46" s="277">
        <f>DFB_Max_2008_07_07!N33/1000</f>
        <v>0.1029</v>
      </c>
      <c r="O46" s="278">
        <f>DFB_Max_2008_07_07!E33/1000</f>
        <v>0.0304</v>
      </c>
      <c r="P46" s="277">
        <f>DFB_Max_2008_07_07!H33/1000</f>
        <v>0.0165</v>
      </c>
      <c r="Q46" s="275"/>
      <c r="R46" s="143"/>
      <c r="S46" s="143"/>
      <c r="T46" s="57"/>
      <c r="U46" s="57"/>
      <c r="V46" s="57"/>
      <c r="W46" s="57"/>
      <c r="X46" s="57"/>
      <c r="Y46" s="57"/>
      <c r="Z46" s="57"/>
      <c r="AA46" s="155"/>
      <c r="AB46" s="148"/>
      <c r="AC46" s="58"/>
    </row>
    <row r="47" spans="9:29" ht="12.75" outlineLevel="1">
      <c r="I47" s="173">
        <f>J47*J$22+K47*K$22+L47*L$22+M47*M$22+N47*N$22+O47*O$22+P47*P$22+Q47*Q$22+R47*R$22+S47*S$22+T47*T$22+U47*U$22+V47*V$22+W47*W$22+X47*X$22+Y47*Y$22+Z47*Z$22+AA47*AA$22</f>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30" ht="12.75" outlineLevel="1">
      <c r="H48" s="247" t="s">
        <v>259</v>
      </c>
      <c r="I48" s="173">
        <f>J48*J$22+K48*K$22+L48*L$22+M48*M$22+N48*N$22+O48*O$22+P48*P$22+Q48*Q$22+R48*R$22+S48*S$22+T48*T$22/2+U48*U$22/2+V48*V$22+W48*W$22+X48*X$22+Y48*Y$22+Z48*Z$22+AA48*AA$22</f>
        <v>2.717250000000001</v>
      </c>
      <c r="J48" s="250"/>
      <c r="K48" s="251"/>
      <c r="L48" s="57"/>
      <c r="M48" s="144"/>
      <c r="N48" s="144"/>
      <c r="O48" s="182"/>
      <c r="P48" s="261"/>
      <c r="Q48" s="250">
        <f>Q16*1.5</f>
        <v>0.024</v>
      </c>
      <c r="R48" s="253">
        <f>R16*1.5</f>
        <v>0.045</v>
      </c>
      <c r="S48" s="251">
        <f>S16*1.5</f>
        <v>0.03</v>
      </c>
      <c r="T48" s="329">
        <v>0.00557</v>
      </c>
      <c r="U48" s="329">
        <v>0.00557</v>
      </c>
      <c r="V48" s="251">
        <f aca="true" t="shared" si="13" ref="V48:AA48">0.0033</f>
        <v>0.0033</v>
      </c>
      <c r="W48" s="251">
        <f t="shared" si="13"/>
        <v>0.0033</v>
      </c>
      <c r="X48" s="251">
        <f t="shared" si="13"/>
        <v>0.0033</v>
      </c>
      <c r="Y48" s="251">
        <f t="shared" si="13"/>
        <v>0.0033</v>
      </c>
      <c r="Z48" s="251">
        <f t="shared" si="13"/>
        <v>0.0033</v>
      </c>
      <c r="AA48" s="251">
        <f t="shared" si="13"/>
        <v>0.0033</v>
      </c>
      <c r="AB48" s="148"/>
      <c r="AC48" s="58"/>
      <c r="AD48" t="s">
        <v>351</v>
      </c>
    </row>
    <row r="49" spans="8:31" ht="12.75" outlineLevel="1">
      <c r="H49" s="316" t="s">
        <v>349</v>
      </c>
      <c r="I49" s="173">
        <f>J49*J$22+K49*K$22+L49*L$22+M49*M$22+N49*N$22+O49*O$22+P49*P$22+Q49*Q$22+R49*R$22+S49*S$22+T49*T$22+U49*U$22+V49*V$22+W49*W$22+X49*X$22+Y49*Y$22+Z49*Z$22+AA49*AA$22</f>
        <v>0.73125</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c r="AE49" t="s">
        <v>350</v>
      </c>
    </row>
    <row r="50" spans="9:29" ht="12.75" outlineLevel="1">
      <c r="I50" s="173">
        <f>J50*J$22+K50*K$22+L50*L$22+M50*M$22+N50*N$22+O50*O$22+P50*P$22+Q50*Q$22+R50*R$22+S50*S$22+T50*T$22+U50*U$22+V50*V$22+W50*W$22+X50*X$22+Y50*Y$22+Z50*Z$22+AA50*AA$22</f>
        <v>0.14400000000000002</v>
      </c>
      <c r="J50" s="159"/>
      <c r="K50" s="57"/>
      <c r="L50" s="143">
        <f>DCB_2008_08_18!G10/1000</f>
        <v>0.04</v>
      </c>
      <c r="M50" s="144"/>
      <c r="N50" s="144"/>
      <c r="O50" s="57"/>
      <c r="P50" s="144"/>
      <c r="Q50" s="266"/>
      <c r="R50" s="57"/>
      <c r="S50" s="57"/>
      <c r="T50" s="57"/>
      <c r="U50" s="57"/>
      <c r="V50" s="57"/>
      <c r="W50" s="57"/>
      <c r="X50" s="57"/>
      <c r="Y50" s="57"/>
      <c r="Z50" s="57"/>
      <c r="AA50" s="155"/>
      <c r="AB50" s="148"/>
      <c r="AC50" s="58"/>
    </row>
    <row r="51" spans="8:29" ht="12.75" outlineLevel="1">
      <c r="H51" s="248" t="s">
        <v>254</v>
      </c>
      <c r="I51" s="173">
        <f>J51*J$22+K51*K$22+L51*L$22+M51*M$22+N51*N$22+O51*O$22+P51*P$22+Q51*Q$22+R51*R$22+S51*S$22+T51*T$22+U51*U$22+V51*V$22+W51*W$22+X51*X$22+Y51*Y$22+Z51*Z$22+AA51*AA$22</f>
        <v>2.009068410181818</v>
      </c>
      <c r="J51" s="246">
        <f>J19*1.5</f>
        <v>0.0066</v>
      </c>
      <c r="K51" s="143">
        <f>DCB_2008_08_18!G24/1000</f>
        <v>0.3732</v>
      </c>
      <c r="L51" s="143">
        <f>DCB_2008_08_18!G23/1000-L50</f>
        <v>0.35119678060606063</v>
      </c>
      <c r="M51" s="237">
        <f>DCB_2008_08_18!J14/10/1000</f>
        <v>0.001</v>
      </c>
      <c r="N51" s="279">
        <f>M51</f>
        <v>0.001</v>
      </c>
      <c r="O51" s="280">
        <f>O19*1.5</f>
        <v>0.0015</v>
      </c>
      <c r="P51" s="281">
        <f>P19*1.5</f>
        <v>0.0015</v>
      </c>
      <c r="Q51" s="250"/>
      <c r="R51" s="57"/>
      <c r="S51" s="57"/>
      <c r="T51" s="57"/>
      <c r="U51" s="57"/>
      <c r="V51" s="57"/>
      <c r="W51" s="57"/>
      <c r="X51" s="57"/>
      <c r="Y51" s="57"/>
      <c r="Z51" s="57"/>
      <c r="AA51" s="155"/>
      <c r="AB51" s="148"/>
      <c r="AC51" s="58"/>
    </row>
    <row r="52" spans="8:29" ht="12.75" outlineLevel="1">
      <c r="H52" s="332" t="s">
        <v>354</v>
      </c>
      <c r="I52" s="173">
        <f>J52*J$22+K52*K$22+L52*L$22+M52*M$22+N52*N$22+O52*O$22+P52*P$22+Q52*Q$22+R52*R$22+S52*S$22+T52*T$22/2+U52*U$22/2+V52*V$22+W52*W$22+X52*X$22+Y52*Y$22+Z52*Z$22+AA52*AA$22</f>
        <v>7.086115125600002</v>
      </c>
      <c r="J52" s="271">
        <f aca="true" t="shared" si="14" ref="J52:S52">SUM(J38:J51)*$L$25</f>
        <v>0.011715000000000001</v>
      </c>
      <c r="K52" s="272">
        <f t="shared" si="14"/>
        <v>0.41426</v>
      </c>
      <c r="L52" s="142">
        <f t="shared" si="14"/>
        <v>0.2800582293333334</v>
      </c>
      <c r="M52" s="207">
        <f t="shared" si="14"/>
        <v>0.04820750000000001</v>
      </c>
      <c r="N52" s="207">
        <f t="shared" si="14"/>
        <v>0.061270000000000005</v>
      </c>
      <c r="O52" s="207">
        <f t="shared" si="14"/>
        <v>0.03817</v>
      </c>
      <c r="P52" s="273">
        <f t="shared" si="14"/>
        <v>0.026400000000000003</v>
      </c>
      <c r="Q52" s="271">
        <f t="shared" si="14"/>
        <v>0.013200000000000002</v>
      </c>
      <c r="R52" s="207">
        <f t="shared" si="14"/>
        <v>0.03960000000000001</v>
      </c>
      <c r="S52" s="207">
        <f t="shared" si="14"/>
        <v>0.03135</v>
      </c>
      <c r="T52" s="327">
        <f>(SUM(T39:T51)*$W$25+$Z$26/T54+T20)/2</f>
        <v>0.010597222222222223</v>
      </c>
      <c r="U52" s="327">
        <f>(SUM(U39:U51)*$W$25+$Z$26/U54+U20)/2</f>
        <v>0.010597222222222223</v>
      </c>
      <c r="V52" s="207">
        <f aca="true" t="shared" si="15" ref="V52:AA52">SUM(V38:V51)*$L$25</f>
        <v>0.005115</v>
      </c>
      <c r="W52" s="207">
        <f t="shared" si="15"/>
        <v>0.005115</v>
      </c>
      <c r="X52" s="207">
        <f t="shared" si="15"/>
        <v>0.005115</v>
      </c>
      <c r="Y52" s="207">
        <f t="shared" si="15"/>
        <v>0.005115</v>
      </c>
      <c r="Z52" s="207">
        <f t="shared" si="15"/>
        <v>0.005115</v>
      </c>
      <c r="AA52" s="274">
        <f t="shared" si="15"/>
        <v>0.005115</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30" ht="15">
      <c r="I54" s="176">
        <f>SUM(I38:I44)+SUM(I46:I52)</f>
        <v>16.887983535781817</v>
      </c>
      <c r="J54" s="164">
        <f aca="true" t="shared" si="16" ref="J54:AA54">J22</f>
        <v>5</v>
      </c>
      <c r="K54" s="97">
        <f t="shared" si="16"/>
        <v>1.8</v>
      </c>
      <c r="L54" s="97">
        <f t="shared" si="16"/>
        <v>3.6</v>
      </c>
      <c r="M54" s="97">
        <f t="shared" si="16"/>
        <v>5</v>
      </c>
      <c r="N54" s="97">
        <f t="shared" si="16"/>
        <v>5</v>
      </c>
      <c r="O54" s="97">
        <f t="shared" si="16"/>
        <v>10</v>
      </c>
      <c r="P54" s="262">
        <f t="shared" si="16"/>
        <v>10</v>
      </c>
      <c r="Q54" s="164">
        <f t="shared" si="16"/>
        <v>5</v>
      </c>
      <c r="R54" s="97">
        <f t="shared" si="16"/>
        <v>10</v>
      </c>
      <c r="S54" s="97">
        <f t="shared" si="16"/>
        <v>10</v>
      </c>
      <c r="T54" s="97">
        <f t="shared" si="16"/>
        <v>225</v>
      </c>
      <c r="U54" s="97">
        <f t="shared" si="16"/>
        <v>225</v>
      </c>
      <c r="V54" s="97">
        <f t="shared" si="16"/>
        <v>30</v>
      </c>
      <c r="W54" s="97">
        <f t="shared" si="16"/>
        <v>30</v>
      </c>
      <c r="X54" s="97">
        <f t="shared" si="16"/>
        <v>30</v>
      </c>
      <c r="Y54" s="97">
        <f t="shared" si="16"/>
        <v>30</v>
      </c>
      <c r="Z54" s="97">
        <f t="shared" si="16"/>
        <v>30</v>
      </c>
      <c r="AA54" s="165">
        <f t="shared" si="16"/>
        <v>30</v>
      </c>
      <c r="AB54" s="150" t="s">
        <v>80</v>
      </c>
      <c r="AC54" s="99"/>
      <c r="AD54" t="s">
        <v>352</v>
      </c>
    </row>
    <row r="55" spans="9:29" ht="15">
      <c r="I55" s="177" t="s">
        <v>252</v>
      </c>
      <c r="J55" s="166">
        <f aca="true" t="shared" si="17" ref="J55:AA55">SUM(J38:J44)+SUM(J46:J51)</f>
        <v>0.0213</v>
      </c>
      <c r="K55" s="104">
        <f t="shared" si="17"/>
        <v>0.7532</v>
      </c>
      <c r="L55" s="104">
        <f t="shared" si="17"/>
        <v>0.5091967806060607</v>
      </c>
      <c r="M55" s="104">
        <f t="shared" si="17"/>
        <v>0.08765</v>
      </c>
      <c r="N55" s="104">
        <f t="shared" si="17"/>
        <v>0.1114</v>
      </c>
      <c r="O55" s="104">
        <f t="shared" si="17"/>
        <v>0.0694</v>
      </c>
      <c r="P55" s="116">
        <f t="shared" si="17"/>
        <v>0.048</v>
      </c>
      <c r="Q55" s="166">
        <f t="shared" si="17"/>
        <v>0.024</v>
      </c>
      <c r="R55" s="258">
        <f t="shared" si="17"/>
        <v>0.07200000000000001</v>
      </c>
      <c r="S55" s="104">
        <f t="shared" si="17"/>
        <v>0.057</v>
      </c>
      <c r="T55" s="328">
        <f t="shared" si="17"/>
        <v>0.00557</v>
      </c>
      <c r="U55" s="328">
        <f t="shared" si="17"/>
        <v>0.00557</v>
      </c>
      <c r="V55" s="104">
        <f t="shared" si="17"/>
        <v>0.0093</v>
      </c>
      <c r="W55" s="104">
        <f t="shared" si="17"/>
        <v>0.0093</v>
      </c>
      <c r="X55" s="104">
        <f t="shared" si="17"/>
        <v>0.0093</v>
      </c>
      <c r="Y55" s="104">
        <f t="shared" si="17"/>
        <v>0.0093</v>
      </c>
      <c r="Z55" s="104">
        <f t="shared" si="17"/>
        <v>0.0093</v>
      </c>
      <c r="AA55" s="167">
        <f t="shared" si="17"/>
        <v>0.0093</v>
      </c>
      <c r="AB55" s="150" t="s">
        <v>81</v>
      </c>
      <c r="AC55" s="99"/>
    </row>
    <row r="56" spans="9:29" ht="15.75" thickBot="1">
      <c r="I56" s="178"/>
      <c r="J56" s="168">
        <f aca="true" t="shared" si="18" ref="J56:AA56">J54*J55</f>
        <v>0.1065</v>
      </c>
      <c r="K56" s="181">
        <f t="shared" si="18"/>
        <v>1.35576</v>
      </c>
      <c r="L56" s="169">
        <f t="shared" si="18"/>
        <v>1.8331084101818185</v>
      </c>
      <c r="M56" s="169">
        <f t="shared" si="18"/>
        <v>0.43825000000000003</v>
      </c>
      <c r="N56" s="169">
        <f t="shared" si="18"/>
        <v>0.5569999999999999</v>
      </c>
      <c r="O56" s="169">
        <f t="shared" si="18"/>
        <v>0.6940000000000001</v>
      </c>
      <c r="P56" s="263">
        <f t="shared" si="18"/>
        <v>0.48</v>
      </c>
      <c r="Q56" s="168">
        <f t="shared" si="18"/>
        <v>0.12</v>
      </c>
      <c r="R56" s="169">
        <f t="shared" si="18"/>
        <v>0.7200000000000001</v>
      </c>
      <c r="S56" s="169">
        <f t="shared" si="18"/>
        <v>0.5700000000000001</v>
      </c>
      <c r="T56" s="169">
        <f t="shared" si="18"/>
        <v>1.25325</v>
      </c>
      <c r="U56" s="169">
        <f t="shared" si="18"/>
        <v>1.25325</v>
      </c>
      <c r="V56" s="169">
        <f t="shared" si="18"/>
        <v>0.27899999999999997</v>
      </c>
      <c r="W56" s="169">
        <f t="shared" si="18"/>
        <v>0.27899999999999997</v>
      </c>
      <c r="X56" s="169">
        <f t="shared" si="18"/>
        <v>0.27899999999999997</v>
      </c>
      <c r="Y56" s="169">
        <f t="shared" si="18"/>
        <v>0.27899999999999997</v>
      </c>
      <c r="Z56" s="169">
        <f t="shared" si="18"/>
        <v>0.27899999999999997</v>
      </c>
      <c r="AA56" s="170">
        <f t="shared" si="18"/>
        <v>0.27899999999999997</v>
      </c>
      <c r="AB56" s="151" t="s">
        <v>4</v>
      </c>
      <c r="AC56" s="110"/>
    </row>
    <row r="58" ht="12.75">
      <c r="L58" s="139"/>
    </row>
  </sheetData>
  <mergeCells count="16">
    <mergeCell ref="Q6:AA6"/>
    <mergeCell ref="Q38:AA38"/>
    <mergeCell ref="I35:I36"/>
    <mergeCell ref="J35:AC36"/>
    <mergeCell ref="J38:P38"/>
    <mergeCell ref="J6:P6"/>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14.xml><?xml version="1.0" encoding="utf-8"?>
<worksheet xmlns="http://schemas.openxmlformats.org/spreadsheetml/2006/main" xmlns:r="http://schemas.openxmlformats.org/officeDocument/2006/relationships">
  <dimension ref="A1:J22"/>
  <sheetViews>
    <sheetView workbookViewId="0" topLeftCell="A1">
      <selection activeCell="D6" sqref="D6:D14"/>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27" t="s">
        <v>0</v>
      </c>
      <c r="B5" s="26" t="s">
        <v>17</v>
      </c>
      <c r="C5" s="320" t="s">
        <v>334</v>
      </c>
      <c r="D5" s="26" t="s">
        <v>132</v>
      </c>
      <c r="E5" s="26" t="s">
        <v>19</v>
      </c>
      <c r="F5" s="26" t="s">
        <v>20</v>
      </c>
      <c r="G5" s="16"/>
      <c r="H5" s="32"/>
      <c r="I5" s="8" t="s">
        <v>25</v>
      </c>
      <c r="J5" s="7"/>
    </row>
    <row r="6" spans="1:10" ht="12.75">
      <c r="A6" s="22" t="s">
        <v>5</v>
      </c>
      <c r="B6" s="21">
        <f>'Detail 2009-01-12'!E16</f>
        <v>1.1200000000000003</v>
      </c>
      <c r="C6" s="321">
        <f aca="true" t="shared" si="0" ref="C6:C14">(D6-B6)/B6</f>
        <v>0.24999999999999994</v>
      </c>
      <c r="D6" s="21">
        <f>B6*1.25</f>
        <v>1.4000000000000004</v>
      </c>
      <c r="E6" s="21"/>
      <c r="F6" s="21">
        <v>0</v>
      </c>
      <c r="G6" s="16"/>
      <c r="H6" s="28"/>
      <c r="I6" s="19" t="s">
        <v>28</v>
      </c>
      <c r="J6" s="13"/>
    </row>
    <row r="7" spans="1:10" ht="12.75">
      <c r="A7" s="22" t="s">
        <v>94</v>
      </c>
      <c r="B7" s="21">
        <f>'Detail 2009-01-12'!E15</f>
        <v>0.36000000000000004</v>
      </c>
      <c r="C7" s="321">
        <f t="shared" si="0"/>
        <v>0.25000000000000006</v>
      </c>
      <c r="D7" s="21">
        <f>B7*1.25</f>
        <v>0.45000000000000007</v>
      </c>
      <c r="E7" s="21"/>
      <c r="F7" s="21">
        <v>0</v>
      </c>
      <c r="G7" s="16"/>
      <c r="H7" s="28"/>
      <c r="I7" s="19" t="s">
        <v>323</v>
      </c>
      <c r="J7" s="13"/>
    </row>
    <row r="8" spans="1:10" ht="12.75">
      <c r="A8" s="22" t="s">
        <v>6</v>
      </c>
      <c r="B8" s="21">
        <f>'Detail 2009-01-12'!E14</f>
        <v>1.46271</v>
      </c>
      <c r="C8" s="321">
        <f t="shared" si="0"/>
        <v>0.24999999999999992</v>
      </c>
      <c r="D8" s="21">
        <f>B8*1.25</f>
        <v>1.8283874999999998</v>
      </c>
      <c r="E8" s="21"/>
      <c r="F8" s="21">
        <v>0</v>
      </c>
      <c r="G8" s="16"/>
      <c r="H8" s="28"/>
      <c r="I8" s="123" t="s">
        <v>277</v>
      </c>
      <c r="J8" s="13"/>
    </row>
    <row r="9" spans="1:10" ht="12.75">
      <c r="A9" s="22" t="s">
        <v>7</v>
      </c>
      <c r="B9" s="21">
        <f>'Detail 2009-01-12'!E17+'Detail 2009-01-12'!E18+'Detail 2009-01-12'!E19</f>
        <v>1.6701181847272726</v>
      </c>
      <c r="C9" s="321">
        <f t="shared" si="0"/>
        <v>0.24999999999999994</v>
      </c>
      <c r="D9" s="21">
        <f>B9*1.25</f>
        <v>2.0876477309090906</v>
      </c>
      <c r="E9" s="21"/>
      <c r="F9" s="21">
        <v>0</v>
      </c>
      <c r="G9" s="16"/>
      <c r="H9" s="28"/>
      <c r="I9" s="322" t="s">
        <v>345</v>
      </c>
      <c r="J9" s="13"/>
    </row>
    <row r="10" spans="1:10" ht="12.75">
      <c r="A10" s="22" t="s">
        <v>8</v>
      </c>
      <c r="B10" s="21">
        <f>'Detail 2009-01-12'!E20</f>
        <v>3.5945555016000017</v>
      </c>
      <c r="C10" s="321">
        <f t="shared" si="0"/>
        <v>0.24999999999999992</v>
      </c>
      <c r="D10" s="21">
        <f>B10*1.25</f>
        <v>4.493194377000002</v>
      </c>
      <c r="E10" s="21"/>
      <c r="F10" s="21">
        <v>0</v>
      </c>
      <c r="G10" s="16"/>
      <c r="H10" s="28"/>
      <c r="I10" s="19" t="s">
        <v>327</v>
      </c>
      <c r="J10" s="13"/>
    </row>
    <row r="11" spans="1:10" ht="12.75">
      <c r="A11" s="24" t="s">
        <v>31</v>
      </c>
      <c r="B11" s="25">
        <f>SUM(B6:B10)</f>
        <v>8.207383686327274</v>
      </c>
      <c r="C11" s="321">
        <f t="shared" si="0"/>
        <v>0.25000000000000006</v>
      </c>
      <c r="D11" s="25">
        <f>SUM(D6:D10)</f>
        <v>10.259229607909093</v>
      </c>
      <c r="E11" s="21">
        <f>'Detail 2009-01-12'!C28</f>
        <v>1.0533385531694215</v>
      </c>
      <c r="F11" s="25"/>
      <c r="G11" s="16"/>
      <c r="H11" s="28"/>
      <c r="I11" s="19"/>
      <c r="J11" s="13"/>
    </row>
    <row r="12" spans="1:10" ht="12.75">
      <c r="A12" s="24" t="s">
        <v>22</v>
      </c>
      <c r="B12" s="21">
        <f>'Detail 2009-01-12'!E7+'Detail 2009-01-12'!E8+'Detail 2009-01-12'!E9+'Detail 2009-01-12'!E10</f>
        <v>0.48</v>
      </c>
      <c r="C12" s="321">
        <f t="shared" si="0"/>
        <v>0.25</v>
      </c>
      <c r="D12" s="21">
        <f>B12*1.25</f>
        <v>0.6</v>
      </c>
      <c r="E12" s="21">
        <v>4</v>
      </c>
      <c r="F12" s="21">
        <v>0</v>
      </c>
      <c r="G12" s="16"/>
      <c r="H12" s="28"/>
      <c r="I12" s="19" t="s">
        <v>324</v>
      </c>
      <c r="J12" s="13"/>
    </row>
    <row r="13" spans="1:10" ht="13.5" thickBot="1">
      <c r="A13" s="24" t="s">
        <v>23</v>
      </c>
      <c r="B13" s="21">
        <f>'Detail 2009-01-12'!E11+'Detail 2009-01-12'!E12</f>
        <v>0.24</v>
      </c>
      <c r="C13" s="321">
        <f t="shared" si="0"/>
        <v>0.25</v>
      </c>
      <c r="D13" s="21">
        <f>B13*1.25</f>
        <v>0.3</v>
      </c>
      <c r="E13" s="21">
        <v>4</v>
      </c>
      <c r="F13" s="21">
        <v>0</v>
      </c>
      <c r="G13" s="16"/>
      <c r="H13" s="28"/>
      <c r="I13" s="19" t="s">
        <v>324</v>
      </c>
      <c r="J13" s="13"/>
    </row>
    <row r="14" spans="1:10" ht="13.5" thickBot="1">
      <c r="A14" s="33" t="s">
        <v>2</v>
      </c>
      <c r="B14" s="34">
        <f>SUM(B11:B13)</f>
        <v>8.927383686327275</v>
      </c>
      <c r="C14" s="325">
        <f t="shared" si="0"/>
        <v>0.25</v>
      </c>
      <c r="D14" s="34">
        <f>SUM(D11:D13)</f>
        <v>11.159229607909094</v>
      </c>
      <c r="E14" s="23"/>
      <c r="F14" s="23"/>
      <c r="G14" s="16"/>
      <c r="H14" s="187"/>
      <c r="I14" s="15"/>
      <c r="J14" s="13"/>
    </row>
    <row r="15" spans="7:8" ht="13.5" thickTop="1">
      <c r="G15" s="16"/>
      <c r="H15" s="31"/>
    </row>
    <row r="16" spans="1:8" ht="12.75">
      <c r="A16" t="s">
        <v>348</v>
      </c>
      <c r="H16" s="31"/>
    </row>
    <row r="17" ht="12.75">
      <c r="A17" t="s">
        <v>35</v>
      </c>
    </row>
    <row r="18" ht="12.75">
      <c r="A18" t="s">
        <v>329</v>
      </c>
    </row>
    <row r="19" ht="12.75">
      <c r="A19" t="s">
        <v>332</v>
      </c>
    </row>
    <row r="20" ht="12.75">
      <c r="A20" t="s">
        <v>328</v>
      </c>
    </row>
    <row r="21" ht="12.75">
      <c r="A21" s="282" t="s">
        <v>269</v>
      </c>
    </row>
    <row r="22" ht="12.75">
      <c r="A22"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AE58"/>
  <sheetViews>
    <sheetView zoomScaleSheetLayoutView="100" workbookViewId="0" topLeftCell="A3">
      <selection activeCell="F19" sqref="F19"/>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145" t="s">
        <v>62</v>
      </c>
      <c r="AC5" s="50" t="s">
        <v>63</v>
      </c>
    </row>
    <row r="6" spans="1:29" s="53" customFormat="1" ht="15.75">
      <c r="A6" s="72" t="s">
        <v>66</v>
      </c>
      <c r="B6" s="73"/>
      <c r="C6" s="73"/>
      <c r="D6" s="74" t="str">
        <f aca="true" t="shared" si="0" ref="D6:D20">IF($C6="Concept",0.25,IF($C6="Design",0.15,IF($C6="Prior",0.075,IF($C6="Fab",0.04,IF($C6="Flight",0.02," ")))))</f>
        <v> </v>
      </c>
      <c r="E6" s="119">
        <f>SUM(E7:E12)</f>
        <v>0.72</v>
      </c>
      <c r="F6" s="120">
        <f aca="true" t="shared" si="1" ref="F6:F20">(G6-E6)/E6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30" t="s">
        <v>65</v>
      </c>
      <c r="D7" s="59">
        <f t="shared" si="0"/>
        <v>0.25</v>
      </c>
      <c r="E7" s="67">
        <f aca="true" t="shared" si="2" ref="E7:E12">I7</f>
        <v>0.12</v>
      </c>
      <c r="F7" s="68">
        <f t="shared" si="1"/>
        <v>0.25</v>
      </c>
      <c r="G7" s="118">
        <f aca="true" t="shared" si="3" ref="G7:G12">E7*(1+D7)</f>
        <v>0.15</v>
      </c>
      <c r="H7" s="70"/>
      <c r="I7" s="173">
        <f aca="true" t="shared" si="4" ref="I7:I12">J7*J$22+K7*K$22+L7*L$22+M7*M$22+N7*N$22+O7*O$22+P7*P$22+Q7*Q$22+R7*R$22+S7*S$22+T7*T$22+U7*U$22+V7*V$22+W7*W$22+X7*X$22+Y7*Y$22+Z7*Z$22+AA7*AA$22</f>
        <v>0.12</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30" t="s">
        <v>65</v>
      </c>
      <c r="D8" s="59">
        <f t="shared" si="0"/>
        <v>0.25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30" t="s">
        <v>65</v>
      </c>
      <c r="D9" s="59">
        <f t="shared" si="0"/>
        <v>0.25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30" t="s">
        <v>65</v>
      </c>
      <c r="D10" s="59">
        <f t="shared" si="0"/>
        <v>0.25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30" t="s">
        <v>65</v>
      </c>
      <c r="D11" s="59">
        <f t="shared" si="0"/>
        <v>0.25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30" t="s">
        <v>65</v>
      </c>
      <c r="D12" s="59">
        <f t="shared" si="0"/>
        <v>0.25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8.207383686327274</v>
      </c>
      <c r="F13" s="120">
        <f t="shared" si="1"/>
        <v>0.25000000000000006</v>
      </c>
      <c r="G13" s="121">
        <f>SUM(G14:G20)</f>
        <v>10.259229607909093</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65</v>
      </c>
      <c r="D14" s="77">
        <f t="shared" si="0"/>
        <v>0.25</v>
      </c>
      <c r="E14" s="70">
        <f aca="true" t="shared" si="5" ref="E14:E20">I14</f>
        <v>1.46271</v>
      </c>
      <c r="F14" s="68">
        <f t="shared" si="1"/>
        <v>0.24999999999999992</v>
      </c>
      <c r="G14" s="118">
        <f aca="true" t="shared" si="6" ref="G14:G20">E14*(1+D14)</f>
        <v>1.8283874999999998</v>
      </c>
      <c r="H14" s="70"/>
      <c r="I14" s="173">
        <f aca="true" t="shared" si="7" ref="I14:I20">J14*J$22+K14*K$22+L14*L$22+M14*M$22+N14*N$22+O14*O$22+P14*P$22+Q14*Q$22+R14*R$22+S14*S$22+T14*T$22+U14*U$22+V14*V$22+W14*W$22+X14*X$22+Y14*Y$22+Z14*Z$22+AA14*AA$22</f>
        <v>1.46271</v>
      </c>
      <c r="J14" s="159">
        <f>DFB_Typ_2008_07_07!W33/1000</f>
        <v>0.00775</v>
      </c>
      <c r="K14" s="57">
        <f>DFB_Typ_2008_07_07!T33/1000</f>
        <v>0.19</v>
      </c>
      <c r="L14" s="57">
        <f>DFB_Typ_2008_07_07!Q33/1000</f>
        <v>0.0596</v>
      </c>
      <c r="M14" s="57">
        <f>DFB_Typ_2008_07_07!K33/1000</f>
        <v>0.04968000000000001</v>
      </c>
      <c r="N14" s="144">
        <f>DFB_Typ_2008_07_07!N33/1000</f>
        <v>0.06568</v>
      </c>
      <c r="O14" s="207">
        <f>DFB_Typ_2008_07_07!E33/1000</f>
        <v>0.01601</v>
      </c>
      <c r="P14" s="144">
        <f>DFB_Typ_2008_07_07!H33/1000</f>
        <v>0.013050000000000003</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5"/>
        <v>0.36000000000000004</v>
      </c>
      <c r="F15" s="68">
        <f t="shared" si="1"/>
        <v>0.25000000000000006</v>
      </c>
      <c r="G15" s="118">
        <f t="shared" si="6"/>
        <v>0.45000000000000007</v>
      </c>
      <c r="H15" s="70"/>
      <c r="I15" s="173">
        <f t="shared" si="7"/>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65</v>
      </c>
      <c r="D16" s="59">
        <f t="shared" si="0"/>
        <v>0.25</v>
      </c>
      <c r="E16" s="67">
        <f t="shared" si="5"/>
        <v>1.1200000000000003</v>
      </c>
      <c r="F16" s="68">
        <f t="shared" si="1"/>
        <v>0.24999999999999994</v>
      </c>
      <c r="G16" s="118">
        <f t="shared" si="6"/>
        <v>1.4000000000000004</v>
      </c>
      <c r="H16" s="70"/>
      <c r="I16" s="173">
        <f t="shared" si="7"/>
        <v>1.1200000000000003</v>
      </c>
      <c r="J16" s="159"/>
      <c r="K16" s="57"/>
      <c r="L16" s="57"/>
      <c r="M16" s="57"/>
      <c r="N16" s="57"/>
      <c r="O16" s="182"/>
      <c r="P16" s="261"/>
      <c r="Q16" s="267">
        <v>0.016</v>
      </c>
      <c r="R16" s="57">
        <v>0.026</v>
      </c>
      <c r="S16" s="57">
        <v>0.015</v>
      </c>
      <c r="T16" s="326">
        <f>0.001*0.6</f>
        <v>0.0006</v>
      </c>
      <c r="U16" s="326">
        <f>0.001*0.6</f>
        <v>0.0006</v>
      </c>
      <c r="V16" s="57">
        <v>0.002</v>
      </c>
      <c r="W16" s="57">
        <v>0.002</v>
      </c>
      <c r="X16" s="57">
        <v>0.002</v>
      </c>
      <c r="Y16" s="57">
        <v>0.002</v>
      </c>
      <c r="Z16" s="57">
        <v>0.002</v>
      </c>
      <c r="AA16" s="155">
        <v>0.002</v>
      </c>
      <c r="AB16" s="148"/>
      <c r="AC16" s="58"/>
    </row>
    <row r="17" spans="1:29" ht="12.75" outlineLevel="1">
      <c r="A17" s="64" t="s">
        <v>76</v>
      </c>
      <c r="B17" s="65" t="s">
        <v>13</v>
      </c>
      <c r="C17" s="30" t="s">
        <v>65</v>
      </c>
      <c r="D17" s="59">
        <f t="shared" si="0"/>
        <v>0.25</v>
      </c>
      <c r="E17" s="67">
        <f t="shared" si="5"/>
        <v>0.4875</v>
      </c>
      <c r="F17" s="68">
        <f t="shared" si="1"/>
        <v>0.25000000000000006</v>
      </c>
      <c r="G17" s="118">
        <f t="shared" si="6"/>
        <v>0.609375</v>
      </c>
      <c r="H17" s="70"/>
      <c r="I17" s="173">
        <f t="shared" si="7"/>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30" t="s">
        <v>65</v>
      </c>
      <c r="D18" s="59">
        <f t="shared" si="0"/>
        <v>0.25</v>
      </c>
      <c r="E18" s="67">
        <f t="shared" si="5"/>
        <v>0.07200000000000001</v>
      </c>
      <c r="F18" s="68">
        <f t="shared" si="1"/>
        <v>0.25</v>
      </c>
      <c r="G18" s="118">
        <f t="shared" si="6"/>
        <v>0.09000000000000001</v>
      </c>
      <c r="H18" s="70"/>
      <c r="I18" s="173">
        <f t="shared" si="7"/>
        <v>0.07200000000000001</v>
      </c>
      <c r="J18" s="159"/>
      <c r="K18" s="57"/>
      <c r="L18" s="323">
        <f>L50*L28</f>
        <v>0.02</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30" t="s">
        <v>65</v>
      </c>
      <c r="D19" s="59">
        <f t="shared" si="0"/>
        <v>0.25</v>
      </c>
      <c r="E19" s="67">
        <f t="shared" si="5"/>
        <v>1.1106181847272727</v>
      </c>
      <c r="F19" s="68">
        <f t="shared" si="1"/>
        <v>0.2499999999999999</v>
      </c>
      <c r="G19" s="118">
        <f t="shared" si="6"/>
        <v>1.3882727309090908</v>
      </c>
      <c r="H19" s="70"/>
      <c r="I19" s="173">
        <f t="shared" si="7"/>
        <v>1.1106181847272727</v>
      </c>
      <c r="J19" s="159">
        <v>0.02</v>
      </c>
      <c r="K19" s="57">
        <f>DCB_2008_08_18!$H$24*(1+L29)/1000</f>
        <v>0.250044</v>
      </c>
      <c r="L19" s="57">
        <f>DCB_2008_08_18!$H$23/1000</f>
        <v>0.14876082909090912</v>
      </c>
      <c r="M19" s="57">
        <f>DCB_2008_08_18!K14/10/1000</f>
        <v>0.0005</v>
      </c>
      <c r="N19" s="144">
        <f>M19</f>
        <v>0.0005</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30" t="s">
        <v>65</v>
      </c>
      <c r="D20" s="83">
        <f t="shared" si="0"/>
        <v>0.25</v>
      </c>
      <c r="E20" s="84">
        <f t="shared" si="5"/>
        <v>3.5945555016000017</v>
      </c>
      <c r="F20" s="68">
        <f t="shared" si="1"/>
        <v>0.24999999999999992</v>
      </c>
      <c r="G20" s="118">
        <f t="shared" si="6"/>
        <v>4.493194377000002</v>
      </c>
      <c r="H20" s="70"/>
      <c r="I20" s="173">
        <f t="shared" si="7"/>
        <v>3.5945555016000017</v>
      </c>
      <c r="J20" s="271">
        <f aca="true" t="shared" si="8" ref="J20:S20">SUM(J6:J19)*$L$25</f>
        <v>0.015262500000000002</v>
      </c>
      <c r="K20" s="272">
        <f t="shared" si="8"/>
        <v>0.24202420000000002</v>
      </c>
      <c r="L20" s="142">
        <f t="shared" si="8"/>
        <v>0.12559845600000002</v>
      </c>
      <c r="M20" s="207">
        <f t="shared" si="8"/>
        <v>0.02897400000000001</v>
      </c>
      <c r="N20" s="207">
        <f t="shared" si="8"/>
        <v>0.03914900000000001</v>
      </c>
      <c r="O20" s="207">
        <f t="shared" si="8"/>
        <v>0.023105500000000005</v>
      </c>
      <c r="P20" s="273">
        <f t="shared" si="8"/>
        <v>0.018727500000000005</v>
      </c>
      <c r="Q20" s="271">
        <f t="shared" si="8"/>
        <v>0.0088</v>
      </c>
      <c r="R20" s="207">
        <f t="shared" si="8"/>
        <v>0.0242</v>
      </c>
      <c r="S20" s="207">
        <f t="shared" si="8"/>
        <v>0.018150000000000003</v>
      </c>
      <c r="T20" s="327">
        <f>SUM(T6:T19)*$W$25</f>
        <v>0.0018</v>
      </c>
      <c r="U20" s="327">
        <f>SUM(U6:U19)*$W$25</f>
        <v>0.0018</v>
      </c>
      <c r="V20" s="207">
        <f aca="true" t="shared" si="9" ref="V20:AA20">SUM(V6:V19)*$L$25</f>
        <v>0.0033000000000000004</v>
      </c>
      <c r="W20" s="207">
        <f t="shared" si="9"/>
        <v>0.0033000000000000004</v>
      </c>
      <c r="X20" s="207">
        <f t="shared" si="9"/>
        <v>0.0033000000000000004</v>
      </c>
      <c r="Y20" s="207">
        <f t="shared" si="9"/>
        <v>0.0033000000000000004</v>
      </c>
      <c r="Z20" s="207">
        <f t="shared" si="9"/>
        <v>0.0033000000000000004</v>
      </c>
      <c r="AA20" s="274">
        <f t="shared" si="9"/>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8.927383686327275</v>
      </c>
      <c r="F22" s="240">
        <f>(G22-E22)/E22</f>
        <v>0.25</v>
      </c>
      <c r="G22" s="241">
        <f>SUM(G13+G6)</f>
        <v>11.159229607909094</v>
      </c>
      <c r="H22" s="94"/>
      <c r="I22" s="176">
        <f>SUM(I6:I12)+SUM(I14:I20)</f>
        <v>8.927383686327275</v>
      </c>
      <c r="J22" s="164">
        <v>5</v>
      </c>
      <c r="K22" s="97">
        <v>1.8</v>
      </c>
      <c r="L22" s="97">
        <v>3.6</v>
      </c>
      <c r="M22" s="97">
        <v>5</v>
      </c>
      <c r="N22" s="97">
        <v>5</v>
      </c>
      <c r="O22" s="97">
        <v>10</v>
      </c>
      <c r="P22" s="262">
        <v>10</v>
      </c>
      <c r="Q22" s="268">
        <v>5</v>
      </c>
      <c r="R22" s="97">
        <v>10</v>
      </c>
      <c r="S22" s="97">
        <v>10</v>
      </c>
      <c r="T22" s="97">
        <v>225</v>
      </c>
      <c r="U22" s="97">
        <v>225</v>
      </c>
      <c r="V22" s="97">
        <v>30</v>
      </c>
      <c r="W22" s="97">
        <v>30</v>
      </c>
      <c r="X22" s="97">
        <v>30</v>
      </c>
      <c r="Y22" s="97">
        <v>30</v>
      </c>
      <c r="Z22" s="97">
        <v>30</v>
      </c>
      <c r="AA22" s="165">
        <v>30</v>
      </c>
      <c r="AB22" s="150" t="s">
        <v>80</v>
      </c>
      <c r="AC22" s="99"/>
    </row>
    <row r="23" spans="1:29" s="53" customFormat="1" ht="16.5" thickBot="1">
      <c r="A23" s="100"/>
      <c r="B23" s="63"/>
      <c r="C23" s="101"/>
      <c r="D23" s="242" t="s">
        <v>252</v>
      </c>
      <c r="E23" s="244">
        <f>I54</f>
        <v>18.538758535781817</v>
      </c>
      <c r="F23" s="243">
        <f>F22</f>
        <v>0.25</v>
      </c>
      <c r="G23" s="245">
        <f>E23*(1+F23)</f>
        <v>23.173448169727273</v>
      </c>
      <c r="H23" s="94"/>
      <c r="I23" s="177" t="s">
        <v>258</v>
      </c>
      <c r="J23" s="166">
        <f aca="true" t="shared" si="10" ref="J23:AA23">SUM(J6:J12)+SUM(J14:J19)</f>
        <v>0.02775</v>
      </c>
      <c r="K23" s="104">
        <f t="shared" si="10"/>
        <v>0.440044</v>
      </c>
      <c r="L23" s="104">
        <f t="shared" si="10"/>
        <v>0.22836082909090913</v>
      </c>
      <c r="M23" s="104">
        <f t="shared" si="10"/>
        <v>0.05268000000000001</v>
      </c>
      <c r="N23" s="104">
        <f t="shared" si="10"/>
        <v>0.07118000000000001</v>
      </c>
      <c r="O23" s="104">
        <f t="shared" si="10"/>
        <v>0.042010000000000006</v>
      </c>
      <c r="P23" s="116">
        <f t="shared" si="10"/>
        <v>0.034050000000000004</v>
      </c>
      <c r="Q23" s="269">
        <f t="shared" si="10"/>
        <v>0.016</v>
      </c>
      <c r="R23" s="258">
        <f t="shared" si="10"/>
        <v>0.044</v>
      </c>
      <c r="S23" s="104">
        <f t="shared" si="10"/>
        <v>0.033</v>
      </c>
      <c r="T23" s="328">
        <f t="shared" si="10"/>
        <v>0.0006</v>
      </c>
      <c r="U23" s="328">
        <f t="shared" si="10"/>
        <v>0.0006</v>
      </c>
      <c r="V23" s="104">
        <f t="shared" si="10"/>
        <v>0.006</v>
      </c>
      <c r="W23" s="104">
        <f t="shared" si="10"/>
        <v>0.006</v>
      </c>
      <c r="X23" s="104">
        <f t="shared" si="10"/>
        <v>0.006</v>
      </c>
      <c r="Y23" s="104">
        <f t="shared" si="10"/>
        <v>0.006</v>
      </c>
      <c r="Z23" s="104">
        <f t="shared" si="10"/>
        <v>0.006</v>
      </c>
      <c r="AA23" s="167">
        <f t="shared" si="10"/>
        <v>0.006</v>
      </c>
      <c r="AB23" s="150" t="s">
        <v>81</v>
      </c>
      <c r="AC23" s="99"/>
    </row>
    <row r="24" spans="1:29" s="53" customFormat="1" ht="16.5" thickBot="1">
      <c r="A24"/>
      <c r="B24" s="66"/>
      <c r="H24" s="105"/>
      <c r="I24" s="178"/>
      <c r="J24" s="168">
        <f aca="true" t="shared" si="11" ref="J24:AA24">J22*J23</f>
        <v>0.13875</v>
      </c>
      <c r="K24" s="181">
        <f t="shared" si="11"/>
        <v>0.7920792</v>
      </c>
      <c r="L24" s="169">
        <f t="shared" si="11"/>
        <v>0.8220989847272728</v>
      </c>
      <c r="M24" s="169">
        <f t="shared" si="11"/>
        <v>0.2634000000000001</v>
      </c>
      <c r="N24" s="169">
        <f t="shared" si="11"/>
        <v>0.35590000000000005</v>
      </c>
      <c r="O24" s="169">
        <f t="shared" si="11"/>
        <v>0.42010000000000003</v>
      </c>
      <c r="P24" s="263">
        <f t="shared" si="11"/>
        <v>0.3405</v>
      </c>
      <c r="Q24" s="270">
        <f t="shared" si="11"/>
        <v>0.08</v>
      </c>
      <c r="R24" s="169">
        <f t="shared" si="11"/>
        <v>0.43999999999999995</v>
      </c>
      <c r="S24" s="169">
        <f t="shared" si="11"/>
        <v>0.33</v>
      </c>
      <c r="T24" s="169">
        <f t="shared" si="11"/>
        <v>0.13499999999999998</v>
      </c>
      <c r="U24" s="169">
        <f t="shared" si="11"/>
        <v>0.13499999999999998</v>
      </c>
      <c r="V24" s="169">
        <f t="shared" si="11"/>
        <v>0.18</v>
      </c>
      <c r="W24" s="169">
        <f t="shared" si="11"/>
        <v>0.18</v>
      </c>
      <c r="X24" s="169">
        <f t="shared" si="11"/>
        <v>0.18</v>
      </c>
      <c r="Y24" s="169">
        <f t="shared" si="11"/>
        <v>0.18</v>
      </c>
      <c r="Z24" s="169">
        <f t="shared" si="11"/>
        <v>0.18</v>
      </c>
      <c r="AA24" s="170">
        <f t="shared" si="11"/>
        <v>0.18</v>
      </c>
      <c r="AB24" s="151" t="s">
        <v>4</v>
      </c>
      <c r="AC24" s="110"/>
    </row>
    <row r="25" spans="1:29" s="53" customFormat="1" ht="15.75" outlineLevel="1">
      <c r="A25"/>
      <c r="B25" s="39"/>
      <c r="C25" s="63"/>
      <c r="D25" s="63"/>
      <c r="E25" s="112"/>
      <c r="F25" s="112"/>
      <c r="G25" s="112"/>
      <c r="H25" s="94"/>
      <c r="I25" s="1" t="s">
        <v>82</v>
      </c>
      <c r="L25" s="112">
        <v>0.55</v>
      </c>
      <c r="M25" s="113"/>
      <c r="N25" s="79" t="s">
        <v>261</v>
      </c>
      <c r="P25" s="79">
        <f>1/(1+L25)</f>
        <v>0.6451612903225806</v>
      </c>
      <c r="Q25" s="53" t="s">
        <v>262</v>
      </c>
      <c r="S25" s="1" t="s">
        <v>326</v>
      </c>
      <c r="T25" s="319"/>
      <c r="U25" s="319"/>
      <c r="V25" s="319"/>
      <c r="W25" s="1">
        <f>1/Z25-1</f>
        <v>3</v>
      </c>
      <c r="X25" s="79" t="s">
        <v>261</v>
      </c>
      <c r="Z25" s="318">
        <v>0.25</v>
      </c>
      <c r="AA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11.159229607909094</v>
      </c>
      <c r="C28" s="131">
        <f>G23/B33</f>
        <v>1.0533385531694215</v>
      </c>
      <c r="D28" s="450" t="s">
        <v>253</v>
      </c>
      <c r="E28" s="450"/>
      <c r="F28" s="450"/>
      <c r="G28" s="450"/>
      <c r="H28" s="450"/>
      <c r="I28"/>
      <c r="L28" s="324">
        <v>0.5</v>
      </c>
      <c r="M28" t="s">
        <v>346</v>
      </c>
    </row>
    <row r="29" spans="1:21" ht="12.75" outlineLevel="1">
      <c r="A29" s="132" t="s">
        <v>313</v>
      </c>
      <c r="B29" s="21">
        <v>10</v>
      </c>
      <c r="C29" s="131">
        <f>35/F39</f>
        <v>0.2857142857142857</v>
      </c>
      <c r="D29" s="449" t="s">
        <v>333</v>
      </c>
      <c r="E29" s="450"/>
      <c r="F29" s="450"/>
      <c r="G29" s="450"/>
      <c r="H29" s="450"/>
      <c r="L29" s="324">
        <v>0.34</v>
      </c>
      <c r="M29" t="s">
        <v>347</v>
      </c>
      <c r="U29" s="113"/>
    </row>
    <row r="30" spans="1:9" ht="12.75" outlineLevel="1">
      <c r="A30" s="132" t="s">
        <v>99</v>
      </c>
      <c r="B30" s="21">
        <f>C38*B34</f>
        <v>11.804545454545453</v>
      </c>
      <c r="C30" s="21">
        <f>MAX(C37,C40)</f>
        <v>1.9125683060109289</v>
      </c>
      <c r="D30" s="449" t="s">
        <v>115</v>
      </c>
      <c r="E30" s="450"/>
      <c r="F30" s="450"/>
      <c r="G30" s="450"/>
      <c r="H30" s="450"/>
      <c r="I30" s="79"/>
    </row>
    <row r="31" spans="1:13" ht="12.75" outlineLevel="1">
      <c r="A31" s="132" t="s">
        <v>100</v>
      </c>
      <c r="B31" s="21">
        <f>C38*B34</f>
        <v>11.804545454545453</v>
      </c>
      <c r="C31" s="21">
        <f>MAX(C36,C39,C40)</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273</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271</v>
      </c>
      <c r="B37" s="2"/>
      <c r="C37" s="128">
        <f>B34/F37</f>
        <v>1.9125683060109289</v>
      </c>
      <c r="D37" s="127" t="s">
        <v>111</v>
      </c>
      <c r="E37" s="113"/>
      <c r="F37" s="129">
        <f>36.6/2</f>
        <v>18.3</v>
      </c>
      <c r="G37" s="113" t="s">
        <v>102</v>
      </c>
      <c r="I37" s="171" t="s">
        <v>46</v>
      </c>
      <c r="J37" s="152" t="str">
        <f aca="true" t="shared" si="12" ref="J37:AA37">J5</f>
        <v>+5V D</v>
      </c>
      <c r="K37" s="152" t="str">
        <f t="shared" si="12"/>
        <v> +1.8V D</v>
      </c>
      <c r="L37" s="152" t="str">
        <f t="shared" si="12"/>
        <v>+3.6D (1)</v>
      </c>
      <c r="M37" s="152" t="str">
        <f t="shared" si="12"/>
        <v>+5V A</v>
      </c>
      <c r="N37" s="152" t="str">
        <f t="shared" si="12"/>
        <v>-5V A</v>
      </c>
      <c r="O37" s="152" t="str">
        <f t="shared" si="12"/>
        <v>+10VA</v>
      </c>
      <c r="P37" s="152" t="str">
        <f t="shared" si="12"/>
        <v>-10VA</v>
      </c>
      <c r="Q37" s="152" t="str">
        <f t="shared" si="12"/>
        <v>+5V D</v>
      </c>
      <c r="R37" s="152" t="str">
        <f t="shared" si="12"/>
        <v>+10V A</v>
      </c>
      <c r="S37" s="152" t="str">
        <f t="shared" si="12"/>
        <v>-10V A</v>
      </c>
      <c r="T37" s="152" t="str">
        <f t="shared" si="12"/>
        <v>+225V</v>
      </c>
      <c r="U37" s="152" t="str">
        <f t="shared" si="12"/>
        <v>-225V</v>
      </c>
      <c r="V37" s="152" t="str">
        <f t="shared" si="12"/>
        <v>+/-15F1</v>
      </c>
      <c r="W37" s="152" t="str">
        <f t="shared" si="12"/>
        <v>+/-15F2</v>
      </c>
      <c r="X37" s="152" t="str">
        <f t="shared" si="12"/>
        <v>+/-15F3</v>
      </c>
      <c r="Y37" s="152" t="str">
        <f t="shared" si="12"/>
        <v>+/-15F4</v>
      </c>
      <c r="Z37" s="152" t="str">
        <f t="shared" si="12"/>
        <v>+/-10F5</v>
      </c>
      <c r="AA37" s="152" t="str">
        <f t="shared" si="12"/>
        <v>+/-15F6</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314</v>
      </c>
      <c r="C39" s="125">
        <f>B34/F39</f>
        <v>0.2857142857142857</v>
      </c>
      <c r="D39" s="127" t="s">
        <v>111</v>
      </c>
      <c r="E39" s="113"/>
      <c r="F39" s="126">
        <f>(B34*B34)/B29</f>
        <v>122.5</v>
      </c>
      <c r="G39" s="113" t="s">
        <v>102</v>
      </c>
      <c r="I39" s="173">
        <f aca="true" t="shared" si="13" ref="I39:I44">J39*J$22+K39*K$22+L39*L$22+M39*M$22+N39*N$22+O39*O$22+P39*P$22+Q39*Q$22+R39*R$22+S39*S$22+T39*T$22+U39*U$22+V39*V$22+W39*W$22+X39*X$22+Y39*Y$22+Z39*Z$22+AA39*AA$22</f>
        <v>0.18</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1:29" ht="12.75" outlineLevel="1">
      <c r="A40" s="79" t="s">
        <v>272</v>
      </c>
      <c r="C40" s="284">
        <v>1.5</v>
      </c>
      <c r="D40" s="285" t="s">
        <v>312</v>
      </c>
      <c r="I40" s="173">
        <f t="shared" si="13"/>
        <v>0.18</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4:29" ht="12.75" outlineLevel="1">
      <c r="D41" s="285" t="s">
        <v>274</v>
      </c>
      <c r="I41" s="173">
        <f t="shared" si="13"/>
        <v>0.18</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3"/>
        <v>0.18</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3"/>
        <v>0.18</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4:29" ht="12.75" outlineLevel="1">
      <c r="D44" s="16">
        <f>B34*B34/F37</f>
        <v>66.93989071038251</v>
      </c>
      <c r="I44" s="173">
        <f t="shared" si="13"/>
        <v>0.18</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311</v>
      </c>
      <c r="I46" s="173">
        <f aca="true" t="shared" si="14" ref="I46:I51">J46*J$22+K46*K$22+L46*L$22+M46*M$22+N46*N$22+O46*O$22+P46*P$22+Q46*Q$22+R46*R$22+S46*S$22+T46*T$22+U46*U$22+V46*V$22+W46*W$22+X46*X$22+Y46*Y$22+Z46*Z$22+AA46*AA$22</f>
        <v>2.5803</v>
      </c>
      <c r="J46" s="275">
        <f>DFB_Max_2008_07_07!W33/1000</f>
        <v>0.0147</v>
      </c>
      <c r="K46" s="277">
        <f>DFB_Max_2008_07_07!T33/1000</f>
        <v>0.38</v>
      </c>
      <c r="L46" s="278">
        <f>DFB_Max_2008_07_07!Q33/1000</f>
        <v>0.118</v>
      </c>
      <c r="M46" s="277">
        <f>DFB_Max_2008_07_07!K33/1000</f>
        <v>0.0829</v>
      </c>
      <c r="N46" s="277">
        <f>DFB_Max_2008_07_07!N33/1000</f>
        <v>0.1029</v>
      </c>
      <c r="O46" s="278">
        <f>DFB_Max_2008_07_07!E33/1000</f>
        <v>0.0304</v>
      </c>
      <c r="P46" s="277">
        <f>DFB_Max_2008_07_07!H33/1000</f>
        <v>0.0165</v>
      </c>
      <c r="Q46" s="275"/>
      <c r="R46" s="143"/>
      <c r="S46" s="143"/>
      <c r="T46" s="57"/>
      <c r="U46" s="57"/>
      <c r="V46" s="57"/>
      <c r="W46" s="57"/>
      <c r="X46" s="57"/>
      <c r="Y46" s="57"/>
      <c r="Z46" s="57"/>
      <c r="AA46" s="155"/>
      <c r="AB46" s="148"/>
      <c r="AC46" s="58"/>
    </row>
    <row r="47" spans="9:29" ht="12.75" outlineLevel="1">
      <c r="I47" s="173">
        <f t="shared" si="14"/>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30" ht="12.75" outlineLevel="1">
      <c r="H48" s="247" t="s">
        <v>259</v>
      </c>
      <c r="I48" s="173">
        <f>J48*J$22+K48*K$22+L48*L$22+M48*M$22+N48*N$22+O48*O$22+P48*P$22+Q48*Q$22+R48*R$22+S48*S$22+T48*T$22/2+U48*U$22/2+V48*V$22+W48*W$22+X48*X$22+Y48*Y$22+Z48*Z$22+AA48*AA$22</f>
        <v>2.624999999999999</v>
      </c>
      <c r="J48" s="250"/>
      <c r="K48" s="251"/>
      <c r="L48" s="57"/>
      <c r="M48" s="144"/>
      <c r="N48" s="144"/>
      <c r="O48" s="182"/>
      <c r="P48" s="261"/>
      <c r="Q48" s="250">
        <f>Q16*1.5</f>
        <v>0.024</v>
      </c>
      <c r="R48" s="253">
        <f>R16*1.5</f>
        <v>0.039</v>
      </c>
      <c r="S48" s="251">
        <f>S16*1.5</f>
        <v>0.0225</v>
      </c>
      <c r="T48" s="329">
        <v>0.006</v>
      </c>
      <c r="U48" s="329">
        <v>0.006</v>
      </c>
      <c r="V48" s="251">
        <f aca="true" t="shared" si="15" ref="V48:AA48">V16*1.5</f>
        <v>0.003</v>
      </c>
      <c r="W48" s="253">
        <f t="shared" si="15"/>
        <v>0.003</v>
      </c>
      <c r="X48" s="251">
        <f t="shared" si="15"/>
        <v>0.003</v>
      </c>
      <c r="Y48" s="251">
        <f t="shared" si="15"/>
        <v>0.003</v>
      </c>
      <c r="Z48" s="251">
        <f t="shared" si="15"/>
        <v>0.003</v>
      </c>
      <c r="AA48" s="252">
        <f t="shared" si="15"/>
        <v>0.003</v>
      </c>
      <c r="AB48" s="148"/>
      <c r="AC48" s="58"/>
      <c r="AD48" t="s">
        <v>351</v>
      </c>
    </row>
    <row r="49" spans="8:31" ht="12.75" outlineLevel="1">
      <c r="H49" s="316" t="s">
        <v>349</v>
      </c>
      <c r="I49" s="173">
        <f t="shared" si="14"/>
        <v>0.73125</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c r="AE49" t="s">
        <v>350</v>
      </c>
    </row>
    <row r="50" spans="9:29" ht="12.75" outlineLevel="1">
      <c r="I50" s="173">
        <f t="shared" si="14"/>
        <v>0.14400000000000002</v>
      </c>
      <c r="J50" s="159"/>
      <c r="K50" s="57"/>
      <c r="L50" s="143">
        <f>DCB_2008_08_18!G10/1000</f>
        <v>0.04</v>
      </c>
      <c r="M50" s="144"/>
      <c r="N50" s="144"/>
      <c r="O50" s="57"/>
      <c r="P50" s="144"/>
      <c r="Q50" s="266"/>
      <c r="R50" s="57"/>
      <c r="S50" s="57"/>
      <c r="T50" s="57"/>
      <c r="U50" s="57"/>
      <c r="V50" s="57"/>
      <c r="W50" s="57"/>
      <c r="X50" s="57"/>
      <c r="Y50" s="57"/>
      <c r="Z50" s="57"/>
      <c r="AA50" s="155"/>
      <c r="AB50" s="148"/>
      <c r="AC50" s="58"/>
    </row>
    <row r="51" spans="8:29" ht="12.75" outlineLevel="1">
      <c r="H51" s="248" t="s">
        <v>254</v>
      </c>
      <c r="I51" s="173">
        <f t="shared" si="14"/>
        <v>2.1260684101818184</v>
      </c>
      <c r="J51" s="246">
        <f>J19*1.5</f>
        <v>0.03</v>
      </c>
      <c r="K51" s="143">
        <f>DCB_2008_08_18!G24/1000</f>
        <v>0.3732</v>
      </c>
      <c r="L51" s="143">
        <f>DCB_2008_08_18!G23/1000-L50</f>
        <v>0.35119678060606063</v>
      </c>
      <c r="M51" s="237">
        <f>DCB_2008_08_18!J14/10/1000</f>
        <v>0.001</v>
      </c>
      <c r="N51" s="279">
        <f>M51</f>
        <v>0.001</v>
      </c>
      <c r="O51" s="280">
        <f>O19*1.5</f>
        <v>0.0015</v>
      </c>
      <c r="P51" s="281">
        <f>P19*1.5</f>
        <v>0.0015</v>
      </c>
      <c r="Q51" s="250"/>
      <c r="R51" s="57"/>
      <c r="S51" s="57"/>
      <c r="T51" s="57"/>
      <c r="U51" s="57"/>
      <c r="V51" s="57"/>
      <c r="W51" s="57"/>
      <c r="X51" s="57"/>
      <c r="Y51" s="57"/>
      <c r="Z51" s="57"/>
      <c r="AA51" s="155"/>
      <c r="AB51" s="148"/>
      <c r="AC51" s="58"/>
    </row>
    <row r="52" spans="9:29" ht="12.75" outlineLevel="1">
      <c r="I52" s="173">
        <f>J52*J$22+K52*K$22+L52*L$22+M52*M$22+N52*N$22+O52*O$22+P52*P$22+Q52*Q$22+R52*R$22+S52*S$22+T52*T$22/2+U52*U$22/2+V52*V$22+W52*W$22+X52*X$22+Y52*Y$22+Z52*Z$22+AA52*AA$22</f>
        <v>8.712140125600003</v>
      </c>
      <c r="J52" s="271">
        <f aca="true" t="shared" si="16" ref="J52:S52">SUM(J38:J51)*$L$25</f>
        <v>0.024585</v>
      </c>
      <c r="K52" s="272">
        <f t="shared" si="16"/>
        <v>0.41426</v>
      </c>
      <c r="L52" s="142">
        <f t="shared" si="16"/>
        <v>0.2800582293333334</v>
      </c>
      <c r="M52" s="207">
        <f t="shared" si="16"/>
        <v>0.04820750000000001</v>
      </c>
      <c r="N52" s="207">
        <f t="shared" si="16"/>
        <v>0.061270000000000005</v>
      </c>
      <c r="O52" s="207">
        <f t="shared" si="16"/>
        <v>0.03817</v>
      </c>
      <c r="P52" s="273">
        <f t="shared" si="16"/>
        <v>0.026400000000000003</v>
      </c>
      <c r="Q52" s="271">
        <f t="shared" si="16"/>
        <v>0.013200000000000002</v>
      </c>
      <c r="R52" s="207">
        <f t="shared" si="16"/>
        <v>0.036300000000000006</v>
      </c>
      <c r="S52" s="207">
        <f t="shared" si="16"/>
        <v>0.027225000000000003</v>
      </c>
      <c r="T52" s="327">
        <f>SUM(T38:T51)*$W$25</f>
        <v>0.018000000000000002</v>
      </c>
      <c r="U52" s="327">
        <f>SUM(U38:U51)*$W$25</f>
        <v>0.018000000000000002</v>
      </c>
      <c r="V52" s="207">
        <f aca="true" t="shared" si="17" ref="V52:AA52">SUM(V38:V51)*$L$25</f>
        <v>0.004950000000000001</v>
      </c>
      <c r="W52" s="207">
        <f t="shared" si="17"/>
        <v>0.004950000000000001</v>
      </c>
      <c r="X52" s="207">
        <f t="shared" si="17"/>
        <v>0.004950000000000001</v>
      </c>
      <c r="Y52" s="207">
        <f t="shared" si="17"/>
        <v>0.004950000000000001</v>
      </c>
      <c r="Z52" s="207">
        <f t="shared" si="17"/>
        <v>0.004950000000000001</v>
      </c>
      <c r="AA52" s="274">
        <f t="shared" si="17"/>
        <v>0.004950000000000001</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30" ht="15">
      <c r="I54" s="176">
        <f>SUM(I38:I44)+SUM(I46:I52)</f>
        <v>18.538758535781817</v>
      </c>
      <c r="J54" s="164">
        <f aca="true" t="shared" si="18" ref="J54:AA54">J22</f>
        <v>5</v>
      </c>
      <c r="K54" s="97">
        <f t="shared" si="18"/>
        <v>1.8</v>
      </c>
      <c r="L54" s="97">
        <f t="shared" si="18"/>
        <v>3.6</v>
      </c>
      <c r="M54" s="97">
        <f t="shared" si="18"/>
        <v>5</v>
      </c>
      <c r="N54" s="97">
        <f t="shared" si="18"/>
        <v>5</v>
      </c>
      <c r="O54" s="97">
        <f t="shared" si="18"/>
        <v>10</v>
      </c>
      <c r="P54" s="262">
        <f t="shared" si="18"/>
        <v>10</v>
      </c>
      <c r="Q54" s="164">
        <f t="shared" si="18"/>
        <v>5</v>
      </c>
      <c r="R54" s="97">
        <f t="shared" si="18"/>
        <v>10</v>
      </c>
      <c r="S54" s="97">
        <f t="shared" si="18"/>
        <v>10</v>
      </c>
      <c r="T54" s="97">
        <f t="shared" si="18"/>
        <v>225</v>
      </c>
      <c r="U54" s="97">
        <f t="shared" si="18"/>
        <v>225</v>
      </c>
      <c r="V54" s="97">
        <f t="shared" si="18"/>
        <v>30</v>
      </c>
      <c r="W54" s="97">
        <f t="shared" si="18"/>
        <v>30</v>
      </c>
      <c r="X54" s="97">
        <f t="shared" si="18"/>
        <v>30</v>
      </c>
      <c r="Y54" s="97">
        <f t="shared" si="18"/>
        <v>30</v>
      </c>
      <c r="Z54" s="97">
        <f t="shared" si="18"/>
        <v>30</v>
      </c>
      <c r="AA54" s="165">
        <f t="shared" si="18"/>
        <v>30</v>
      </c>
      <c r="AB54" s="150" t="s">
        <v>80</v>
      </c>
      <c r="AC54" s="99"/>
      <c r="AD54" t="s">
        <v>352</v>
      </c>
    </row>
    <row r="55" spans="9:29" ht="15">
      <c r="I55" s="177" t="s">
        <v>252</v>
      </c>
      <c r="J55" s="166">
        <f aca="true" t="shared" si="19" ref="J55:AA55">SUM(J38:J44)+SUM(J46:J51)</f>
        <v>0.0447</v>
      </c>
      <c r="K55" s="104">
        <f t="shared" si="19"/>
        <v>0.7532</v>
      </c>
      <c r="L55" s="104">
        <f t="shared" si="19"/>
        <v>0.5091967806060607</v>
      </c>
      <c r="M55" s="104">
        <f t="shared" si="19"/>
        <v>0.08765</v>
      </c>
      <c r="N55" s="104">
        <f t="shared" si="19"/>
        <v>0.1114</v>
      </c>
      <c r="O55" s="104">
        <f t="shared" si="19"/>
        <v>0.0694</v>
      </c>
      <c r="P55" s="116">
        <f t="shared" si="19"/>
        <v>0.048</v>
      </c>
      <c r="Q55" s="166">
        <f t="shared" si="19"/>
        <v>0.024</v>
      </c>
      <c r="R55" s="258">
        <f t="shared" si="19"/>
        <v>0.066</v>
      </c>
      <c r="S55" s="104">
        <f t="shared" si="19"/>
        <v>0.0495</v>
      </c>
      <c r="T55" s="328">
        <f>SUM(T38:T44)+SUM(T46:T51)</f>
        <v>0.006</v>
      </c>
      <c r="U55" s="328">
        <f t="shared" si="19"/>
        <v>0.006</v>
      </c>
      <c r="V55" s="104">
        <f t="shared" si="19"/>
        <v>0.009000000000000001</v>
      </c>
      <c r="W55" s="104">
        <f t="shared" si="19"/>
        <v>0.009000000000000001</v>
      </c>
      <c r="X55" s="104">
        <f t="shared" si="19"/>
        <v>0.009000000000000001</v>
      </c>
      <c r="Y55" s="104">
        <f t="shared" si="19"/>
        <v>0.009000000000000001</v>
      </c>
      <c r="Z55" s="104">
        <f t="shared" si="19"/>
        <v>0.009000000000000001</v>
      </c>
      <c r="AA55" s="167">
        <f t="shared" si="19"/>
        <v>0.009000000000000001</v>
      </c>
      <c r="AB55" s="150" t="s">
        <v>81</v>
      </c>
      <c r="AC55" s="99"/>
    </row>
    <row r="56" spans="9:29" ht="15.75" thickBot="1">
      <c r="I56" s="178"/>
      <c r="J56" s="168">
        <f aca="true" t="shared" si="20" ref="J56:AA56">J54*J55</f>
        <v>0.22349999999999998</v>
      </c>
      <c r="K56" s="181">
        <f t="shared" si="20"/>
        <v>1.35576</v>
      </c>
      <c r="L56" s="169">
        <f t="shared" si="20"/>
        <v>1.8331084101818185</v>
      </c>
      <c r="M56" s="169">
        <f t="shared" si="20"/>
        <v>0.43825000000000003</v>
      </c>
      <c r="N56" s="169">
        <f t="shared" si="20"/>
        <v>0.5569999999999999</v>
      </c>
      <c r="O56" s="169">
        <f t="shared" si="20"/>
        <v>0.6940000000000001</v>
      </c>
      <c r="P56" s="263">
        <f t="shared" si="20"/>
        <v>0.48</v>
      </c>
      <c r="Q56" s="168">
        <f t="shared" si="20"/>
        <v>0.12</v>
      </c>
      <c r="R56" s="169">
        <f t="shared" si="20"/>
        <v>0.66</v>
      </c>
      <c r="S56" s="169">
        <f t="shared" si="20"/>
        <v>0.495</v>
      </c>
      <c r="T56" s="169">
        <f t="shared" si="20"/>
        <v>1.35</v>
      </c>
      <c r="U56" s="169">
        <f t="shared" si="20"/>
        <v>1.35</v>
      </c>
      <c r="V56" s="169">
        <f t="shared" si="20"/>
        <v>0.27</v>
      </c>
      <c r="W56" s="169">
        <f t="shared" si="20"/>
        <v>0.27</v>
      </c>
      <c r="X56" s="169">
        <f t="shared" si="20"/>
        <v>0.27</v>
      </c>
      <c r="Y56" s="169">
        <f t="shared" si="20"/>
        <v>0.27</v>
      </c>
      <c r="Z56" s="169">
        <f t="shared" si="20"/>
        <v>0.27</v>
      </c>
      <c r="AA56" s="170">
        <f t="shared" si="20"/>
        <v>0.27</v>
      </c>
      <c r="AB56" s="151" t="s">
        <v>4</v>
      </c>
      <c r="AC56" s="110"/>
    </row>
    <row r="58" ht="12.75">
      <c r="L58" s="139"/>
    </row>
  </sheetData>
  <mergeCells count="16">
    <mergeCell ref="D31:H31"/>
    <mergeCell ref="D27:H27"/>
    <mergeCell ref="D28:H28"/>
    <mergeCell ref="D29:H29"/>
    <mergeCell ref="D30:H30"/>
    <mergeCell ref="A3:A5"/>
    <mergeCell ref="E3:G4"/>
    <mergeCell ref="B3:D4"/>
    <mergeCell ref="J3:AC4"/>
    <mergeCell ref="I3:I4"/>
    <mergeCell ref="Q6:AA6"/>
    <mergeCell ref="Q38:AA38"/>
    <mergeCell ref="I35:I36"/>
    <mergeCell ref="J35:AC36"/>
    <mergeCell ref="J38:P38"/>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16.xml><?xml version="1.0" encoding="utf-8"?>
<worksheet xmlns="http://schemas.openxmlformats.org/spreadsheetml/2006/main" xmlns:r="http://schemas.openxmlformats.org/officeDocument/2006/relationships">
  <dimension ref="A1:J22"/>
  <sheetViews>
    <sheetView workbookViewId="0" topLeftCell="A1">
      <selection activeCell="B1" sqref="B1"/>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27" t="s">
        <v>0</v>
      </c>
      <c r="B5" s="26" t="s">
        <v>17</v>
      </c>
      <c r="C5" s="320" t="s">
        <v>334</v>
      </c>
      <c r="D5" s="26" t="s">
        <v>132</v>
      </c>
      <c r="E5" s="26" t="s">
        <v>19</v>
      </c>
      <c r="F5" s="26" t="s">
        <v>20</v>
      </c>
      <c r="G5" s="16"/>
      <c r="H5" s="32"/>
      <c r="I5" s="8" t="s">
        <v>25</v>
      </c>
      <c r="J5" s="7"/>
    </row>
    <row r="6" spans="1:10" ht="12.75">
      <c r="A6" s="22" t="s">
        <v>5</v>
      </c>
      <c r="B6" s="21">
        <f>'Detail 2008-08-18'!E16</f>
        <v>1.1200000000000003</v>
      </c>
      <c r="C6" s="321">
        <f>(D6-B6)/B6</f>
        <v>0.24999999999999994</v>
      </c>
      <c r="D6" s="21">
        <f>B6*1.25</f>
        <v>1.4000000000000004</v>
      </c>
      <c r="E6" s="21"/>
      <c r="F6" s="21">
        <v>0</v>
      </c>
      <c r="G6" s="16"/>
      <c r="H6" s="28"/>
      <c r="I6" s="19" t="s">
        <v>28</v>
      </c>
      <c r="J6" s="13"/>
    </row>
    <row r="7" spans="1:10" ht="12.75">
      <c r="A7" s="22" t="s">
        <v>94</v>
      </c>
      <c r="B7" s="21">
        <f>'Detail 2008-08-18'!E15</f>
        <v>0.36000000000000004</v>
      </c>
      <c r="C7" s="321">
        <f aca="true" t="shared" si="0" ref="C7:C14">(D7-B7)/B7</f>
        <v>0.25000000000000006</v>
      </c>
      <c r="D7" s="21">
        <f>B7*1.25</f>
        <v>0.45000000000000007</v>
      </c>
      <c r="E7" s="21"/>
      <c r="F7" s="21">
        <v>0</v>
      </c>
      <c r="G7" s="16"/>
      <c r="H7" s="28"/>
      <c r="I7" s="19" t="s">
        <v>323</v>
      </c>
      <c r="J7" s="13"/>
    </row>
    <row r="8" spans="1:10" ht="12.75">
      <c r="A8" s="22" t="s">
        <v>6</v>
      </c>
      <c r="B8" s="21">
        <f>'Detail 2008-08-18'!E14</f>
        <v>1.46271</v>
      </c>
      <c r="C8" s="321">
        <f t="shared" si="0"/>
        <v>0.24999999999999992</v>
      </c>
      <c r="D8" s="21">
        <f>B8*1.25</f>
        <v>1.8283874999999998</v>
      </c>
      <c r="E8" s="21"/>
      <c r="F8" s="21">
        <v>0</v>
      </c>
      <c r="G8" s="16"/>
      <c r="H8" s="28"/>
      <c r="I8" s="123" t="s">
        <v>277</v>
      </c>
      <c r="J8" s="13"/>
    </row>
    <row r="9" spans="1:10" ht="12.75">
      <c r="A9" s="22" t="s">
        <v>7</v>
      </c>
      <c r="B9" s="21">
        <f>'Detail 2008-08-18'!E17+'Detail 2008-08-18'!E18+'Detail 2008-08-18'!E19</f>
        <v>1.6701181847272726</v>
      </c>
      <c r="C9" s="321">
        <f t="shared" si="0"/>
        <v>0.24999999999999994</v>
      </c>
      <c r="D9" s="21">
        <f>B9*1.25</f>
        <v>2.0876477309090906</v>
      </c>
      <c r="E9" s="21"/>
      <c r="F9" s="21">
        <v>0</v>
      </c>
      <c r="G9" s="16"/>
      <c r="H9" s="28"/>
      <c r="I9" s="322" t="s">
        <v>345</v>
      </c>
      <c r="J9" s="13"/>
    </row>
    <row r="10" spans="1:10" ht="12.75">
      <c r="A10" s="22" t="s">
        <v>8</v>
      </c>
      <c r="B10" s="21">
        <f>'Detail 2008-08-18'!E20</f>
        <v>3.5945555016000017</v>
      </c>
      <c r="C10" s="321">
        <f t="shared" si="0"/>
        <v>0.24999999999999992</v>
      </c>
      <c r="D10" s="21">
        <f>B10*1.25</f>
        <v>4.493194377000002</v>
      </c>
      <c r="E10" s="21"/>
      <c r="F10" s="21">
        <v>0</v>
      </c>
      <c r="G10" s="16"/>
      <c r="H10" s="28"/>
      <c r="I10" s="19" t="s">
        <v>327</v>
      </c>
      <c r="J10" s="13"/>
    </row>
    <row r="11" spans="1:10" ht="12.75">
      <c r="A11" s="24" t="s">
        <v>31</v>
      </c>
      <c r="B11" s="25">
        <f>SUM(B6:B10)</f>
        <v>8.207383686327274</v>
      </c>
      <c r="C11" s="321">
        <f t="shared" si="0"/>
        <v>0.25000000000000006</v>
      </c>
      <c r="D11" s="25">
        <f>SUM(D6:D10)</f>
        <v>10.259229607909093</v>
      </c>
      <c r="E11" s="21">
        <f>'Detail 2008-08-18'!C28</f>
        <v>0.9203840077148762</v>
      </c>
      <c r="F11" s="25"/>
      <c r="G11" s="16"/>
      <c r="H11" s="28"/>
      <c r="I11" s="19"/>
      <c r="J11" s="13"/>
    </row>
    <row r="12" spans="1:10" ht="12.75">
      <c r="A12" s="24" t="s">
        <v>22</v>
      </c>
      <c r="B12" s="21">
        <f>'Detail 2008-08-18'!E7+'Detail 2008-08-18'!E8+'Detail 2008-08-18'!E9+'Detail 2008-08-18'!E10</f>
        <v>0.48</v>
      </c>
      <c r="C12" s="321">
        <f t="shared" si="0"/>
        <v>0.25</v>
      </c>
      <c r="D12" s="21">
        <f>B12*1.25</f>
        <v>0.6</v>
      </c>
      <c r="E12" s="21">
        <v>4</v>
      </c>
      <c r="F12" s="21">
        <v>0</v>
      </c>
      <c r="G12" s="16"/>
      <c r="H12" s="28"/>
      <c r="I12" s="19" t="s">
        <v>324</v>
      </c>
      <c r="J12" s="13"/>
    </row>
    <row r="13" spans="1:10" ht="13.5" thickBot="1">
      <c r="A13" s="24" t="s">
        <v>23</v>
      </c>
      <c r="B13" s="21">
        <f>'Detail 2008-08-18'!E11+'Detail 2008-08-18'!E12</f>
        <v>0.24</v>
      </c>
      <c r="C13" s="321">
        <f t="shared" si="0"/>
        <v>0.25</v>
      </c>
      <c r="D13" s="21">
        <f>B13*1.25</f>
        <v>0.3</v>
      </c>
      <c r="E13" s="21">
        <v>4</v>
      </c>
      <c r="F13" s="21">
        <v>0</v>
      </c>
      <c r="G13" s="16"/>
      <c r="H13" s="28"/>
      <c r="I13" s="19" t="s">
        <v>324</v>
      </c>
      <c r="J13" s="13"/>
    </row>
    <row r="14" spans="1:10" ht="13.5" thickBot="1">
      <c r="A14" s="33" t="s">
        <v>2</v>
      </c>
      <c r="B14" s="34">
        <f>SUM(B11:B13)</f>
        <v>8.927383686327275</v>
      </c>
      <c r="C14" s="325">
        <f t="shared" si="0"/>
        <v>0.25</v>
      </c>
      <c r="D14" s="34">
        <f>SUM(D11:D13)</f>
        <v>11.159229607909094</v>
      </c>
      <c r="E14" s="23"/>
      <c r="F14" s="23"/>
      <c r="G14" s="16"/>
      <c r="H14" s="187"/>
      <c r="I14" s="15"/>
      <c r="J14" s="13"/>
    </row>
    <row r="15" spans="7:8" ht="13.5" thickTop="1">
      <c r="G15" s="16"/>
      <c r="H15" s="31"/>
    </row>
    <row r="16" spans="1:8" ht="12.75">
      <c r="A16" t="s">
        <v>344</v>
      </c>
      <c r="H16" s="31"/>
    </row>
    <row r="17" ht="12.75">
      <c r="A17" t="s">
        <v>35</v>
      </c>
    </row>
    <row r="18" ht="12.75">
      <c r="A18" t="s">
        <v>329</v>
      </c>
    </row>
    <row r="19" ht="12.75">
      <c r="A19" t="s">
        <v>332</v>
      </c>
    </row>
    <row r="20" ht="12.75">
      <c r="A20" t="s">
        <v>328</v>
      </c>
    </row>
    <row r="21" ht="12.75">
      <c r="A21" s="282" t="s">
        <v>269</v>
      </c>
    </row>
    <row r="22" ht="12.75">
      <c r="A22"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17.xml><?xml version="1.0" encoding="utf-8"?>
<worksheet xmlns="http://schemas.openxmlformats.org/spreadsheetml/2006/main" xmlns:r="http://schemas.openxmlformats.org/officeDocument/2006/relationships">
  <sheetPr>
    <outlinePr summaryBelow="0"/>
    <pageSetUpPr fitToPage="1"/>
  </sheetPr>
  <dimension ref="A1:AC58"/>
  <sheetViews>
    <sheetView zoomScaleSheetLayoutView="100" workbookViewId="0" topLeftCell="C2">
      <selection activeCell="C40" sqref="C40"/>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145" t="s">
        <v>62</v>
      </c>
      <c r="AC5" s="50" t="s">
        <v>63</v>
      </c>
    </row>
    <row r="6" spans="1:29" s="53" customFormat="1" ht="15.75">
      <c r="A6" s="72" t="s">
        <v>66</v>
      </c>
      <c r="B6" s="73"/>
      <c r="C6" s="73"/>
      <c r="D6" s="74" t="str">
        <f aca="true" t="shared" si="0" ref="D6:D20">IF($C6="Concept",0.25,IF($C6="Design",0.15,IF($C6="Prior",0.075,IF($C6="Fab",0.04,IF($C6="Flight",0.02," ")))))</f>
        <v> </v>
      </c>
      <c r="E6" s="119">
        <f>SUM(E7:E12)</f>
        <v>0.72</v>
      </c>
      <c r="F6" s="120">
        <f aca="true" t="shared" si="1" ref="F6:F20">(G6-E6)/E6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30" t="s">
        <v>65</v>
      </c>
      <c r="D7" s="59">
        <f t="shared" si="0"/>
        <v>0.25</v>
      </c>
      <c r="E7" s="67">
        <f aca="true" t="shared" si="2" ref="E7:E12">I7</f>
        <v>0.12</v>
      </c>
      <c r="F7" s="68">
        <f t="shared" si="1"/>
        <v>0.25</v>
      </c>
      <c r="G7" s="118">
        <f aca="true" t="shared" si="3" ref="G7:G12">E7*(1+D7)</f>
        <v>0.15</v>
      </c>
      <c r="H7" s="70"/>
      <c r="I7" s="173">
        <f aca="true" t="shared" si="4" ref="I7:I12">J7*J$22+K7*K$22+L7*L$22+M7*M$22+N7*N$22+O7*O$22+P7*P$22+Q7*Q$22+R7*R$22+S7*S$22+T7*T$22+U7*U$22+V7*V$22+W7*W$22+X7*X$22+Y7*Y$22+Z7*Z$22+AA7*AA$22</f>
        <v>0.12</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30" t="s">
        <v>65</v>
      </c>
      <c r="D8" s="59">
        <f t="shared" si="0"/>
        <v>0.25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30" t="s">
        <v>65</v>
      </c>
      <c r="D9" s="59">
        <f t="shared" si="0"/>
        <v>0.25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30" t="s">
        <v>65</v>
      </c>
      <c r="D10" s="59">
        <f t="shared" si="0"/>
        <v>0.25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30" t="s">
        <v>65</v>
      </c>
      <c r="D11" s="59">
        <f t="shared" si="0"/>
        <v>0.25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30" t="s">
        <v>65</v>
      </c>
      <c r="D12" s="59">
        <f t="shared" si="0"/>
        <v>0.25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8.207383686327274</v>
      </c>
      <c r="F13" s="120">
        <f t="shared" si="1"/>
        <v>0.25000000000000006</v>
      </c>
      <c r="G13" s="121">
        <f>SUM(G14:G20)</f>
        <v>10.259229607909093</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65</v>
      </c>
      <c r="D14" s="77">
        <f t="shared" si="0"/>
        <v>0.25</v>
      </c>
      <c r="E14" s="70">
        <f aca="true" t="shared" si="5" ref="E14:E20">I14</f>
        <v>1.46271</v>
      </c>
      <c r="F14" s="68">
        <f t="shared" si="1"/>
        <v>0.24999999999999992</v>
      </c>
      <c r="G14" s="118">
        <f aca="true" t="shared" si="6" ref="G14:G20">E14*(1+D14)</f>
        <v>1.8283874999999998</v>
      </c>
      <c r="H14" s="70"/>
      <c r="I14" s="173">
        <f aca="true" t="shared" si="7" ref="I14:I20">J14*J$22+K14*K$22+L14*L$22+M14*M$22+N14*N$22+O14*O$22+P14*P$22+Q14*Q$22+R14*R$22+S14*S$22+T14*T$22+U14*U$22+V14*V$22+W14*W$22+X14*X$22+Y14*Y$22+Z14*Z$22+AA14*AA$22</f>
        <v>1.46271</v>
      </c>
      <c r="J14" s="159">
        <f>DFB_Typ_2008_07_07!W33/1000</f>
        <v>0.00775</v>
      </c>
      <c r="K14" s="57">
        <f>DFB_Typ_2008_07_07!T33/1000</f>
        <v>0.19</v>
      </c>
      <c r="L14" s="57">
        <f>DFB_Typ_2008_07_07!Q33/1000</f>
        <v>0.0596</v>
      </c>
      <c r="M14" s="57">
        <f>DFB_Typ_2008_07_07!K33/1000</f>
        <v>0.04968000000000001</v>
      </c>
      <c r="N14" s="144">
        <f>DFB_Typ_2008_07_07!N33/1000</f>
        <v>0.06568</v>
      </c>
      <c r="O14" s="207">
        <f>DFB_Typ_2008_07_07!E33/1000</f>
        <v>0.01601</v>
      </c>
      <c r="P14" s="144">
        <f>DFB_Typ_2008_07_07!H33/1000</f>
        <v>0.013050000000000003</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5"/>
        <v>0.36000000000000004</v>
      </c>
      <c r="F15" s="68">
        <f t="shared" si="1"/>
        <v>0.25000000000000006</v>
      </c>
      <c r="G15" s="118">
        <f t="shared" si="6"/>
        <v>0.45000000000000007</v>
      </c>
      <c r="H15" s="70"/>
      <c r="I15" s="173">
        <f t="shared" si="7"/>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65</v>
      </c>
      <c r="D16" s="59">
        <f t="shared" si="0"/>
        <v>0.25</v>
      </c>
      <c r="E16" s="67">
        <f t="shared" si="5"/>
        <v>1.1200000000000003</v>
      </c>
      <c r="F16" s="68">
        <f t="shared" si="1"/>
        <v>0.24999999999999994</v>
      </c>
      <c r="G16" s="118">
        <f t="shared" si="6"/>
        <v>1.4000000000000004</v>
      </c>
      <c r="H16" s="70"/>
      <c r="I16" s="173">
        <f t="shared" si="7"/>
        <v>1.1200000000000003</v>
      </c>
      <c r="J16" s="159"/>
      <c r="K16" s="57"/>
      <c r="L16" s="57"/>
      <c r="M16" s="57"/>
      <c r="N16" s="57"/>
      <c r="O16" s="182"/>
      <c r="P16" s="261"/>
      <c r="Q16" s="267">
        <v>0.016</v>
      </c>
      <c r="R16" s="57">
        <v>0.026</v>
      </c>
      <c r="S16" s="57">
        <v>0.015</v>
      </c>
      <c r="T16" s="326">
        <f>0.001*0.6</f>
        <v>0.0006</v>
      </c>
      <c r="U16" s="326">
        <f>0.001*0.6</f>
        <v>0.0006</v>
      </c>
      <c r="V16" s="57">
        <v>0.002</v>
      </c>
      <c r="W16" s="57">
        <v>0.002</v>
      </c>
      <c r="X16" s="57">
        <v>0.002</v>
      </c>
      <c r="Y16" s="57">
        <v>0.002</v>
      </c>
      <c r="Z16" s="57">
        <v>0.002</v>
      </c>
      <c r="AA16" s="155">
        <v>0.002</v>
      </c>
      <c r="AB16" s="148"/>
      <c r="AC16" s="58"/>
    </row>
    <row r="17" spans="1:29" ht="12.75" outlineLevel="1">
      <c r="A17" s="64" t="s">
        <v>76</v>
      </c>
      <c r="B17" s="65" t="s">
        <v>13</v>
      </c>
      <c r="C17" s="30" t="s">
        <v>65</v>
      </c>
      <c r="D17" s="59">
        <f t="shared" si="0"/>
        <v>0.25</v>
      </c>
      <c r="E17" s="67">
        <f t="shared" si="5"/>
        <v>0.4875</v>
      </c>
      <c r="F17" s="68">
        <f t="shared" si="1"/>
        <v>0.25000000000000006</v>
      </c>
      <c r="G17" s="118">
        <f t="shared" si="6"/>
        <v>0.609375</v>
      </c>
      <c r="H17" s="70"/>
      <c r="I17" s="173">
        <f t="shared" si="7"/>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30" t="s">
        <v>65</v>
      </c>
      <c r="D18" s="59">
        <f t="shared" si="0"/>
        <v>0.25</v>
      </c>
      <c r="E18" s="67">
        <f t="shared" si="5"/>
        <v>0.07200000000000001</v>
      </c>
      <c r="F18" s="68">
        <f t="shared" si="1"/>
        <v>0.25</v>
      </c>
      <c r="G18" s="118">
        <f t="shared" si="6"/>
        <v>0.09000000000000001</v>
      </c>
      <c r="H18" s="70"/>
      <c r="I18" s="173">
        <f t="shared" si="7"/>
        <v>0.07200000000000001</v>
      </c>
      <c r="J18" s="159"/>
      <c r="K18" s="57"/>
      <c r="L18" s="323">
        <f>L50*L28</f>
        <v>0.02</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30" t="s">
        <v>65</v>
      </c>
      <c r="D19" s="59">
        <f t="shared" si="0"/>
        <v>0.25</v>
      </c>
      <c r="E19" s="67">
        <f t="shared" si="5"/>
        <v>1.1106181847272727</v>
      </c>
      <c r="F19" s="68">
        <f t="shared" si="1"/>
        <v>0.2499999999999999</v>
      </c>
      <c r="G19" s="118">
        <f t="shared" si="6"/>
        <v>1.3882727309090908</v>
      </c>
      <c r="H19" s="70"/>
      <c r="I19" s="173">
        <f t="shared" si="7"/>
        <v>1.1106181847272727</v>
      </c>
      <c r="J19" s="159">
        <v>0.02</v>
      </c>
      <c r="K19" s="57">
        <f>DCB_2008_08_18!$H$24*(1+L29)/1000</f>
        <v>0.250044</v>
      </c>
      <c r="L19" s="57">
        <f>DCB_2008_08_18!$H$23/1000</f>
        <v>0.14876082909090912</v>
      </c>
      <c r="M19" s="57">
        <f>DCB_2008_08_18!K14/10/1000</f>
        <v>0.0005</v>
      </c>
      <c r="N19" s="144">
        <f>M19</f>
        <v>0.0005</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30" t="s">
        <v>65</v>
      </c>
      <c r="D20" s="83">
        <f t="shared" si="0"/>
        <v>0.25</v>
      </c>
      <c r="E20" s="84">
        <f t="shared" si="5"/>
        <v>3.5945555016000017</v>
      </c>
      <c r="F20" s="68">
        <f t="shared" si="1"/>
        <v>0.24999999999999992</v>
      </c>
      <c r="G20" s="118">
        <f t="shared" si="6"/>
        <v>4.493194377000002</v>
      </c>
      <c r="H20" s="70"/>
      <c r="I20" s="173">
        <f t="shared" si="7"/>
        <v>3.5945555016000017</v>
      </c>
      <c r="J20" s="271">
        <f aca="true" t="shared" si="8" ref="J20:S20">SUM(J6:J19)*$L$25</f>
        <v>0.015262500000000002</v>
      </c>
      <c r="K20" s="272">
        <f t="shared" si="8"/>
        <v>0.24202420000000002</v>
      </c>
      <c r="L20" s="142">
        <f t="shared" si="8"/>
        <v>0.12559845600000002</v>
      </c>
      <c r="M20" s="207">
        <f t="shared" si="8"/>
        <v>0.02897400000000001</v>
      </c>
      <c r="N20" s="207">
        <f t="shared" si="8"/>
        <v>0.03914900000000001</v>
      </c>
      <c r="O20" s="207">
        <f t="shared" si="8"/>
        <v>0.023105500000000005</v>
      </c>
      <c r="P20" s="273">
        <f t="shared" si="8"/>
        <v>0.018727500000000005</v>
      </c>
      <c r="Q20" s="271">
        <f t="shared" si="8"/>
        <v>0.0088</v>
      </c>
      <c r="R20" s="207">
        <f t="shared" si="8"/>
        <v>0.0242</v>
      </c>
      <c r="S20" s="207">
        <f t="shared" si="8"/>
        <v>0.018150000000000003</v>
      </c>
      <c r="T20" s="327">
        <f>SUM(T6:T19)*$W$25</f>
        <v>0.0018</v>
      </c>
      <c r="U20" s="327">
        <f>SUM(U6:U19)*$W$25</f>
        <v>0.0018</v>
      </c>
      <c r="V20" s="207">
        <f aca="true" t="shared" si="9" ref="V20:AA20">SUM(V6:V19)*$L$25</f>
        <v>0.0033000000000000004</v>
      </c>
      <c r="W20" s="207">
        <f t="shared" si="9"/>
        <v>0.0033000000000000004</v>
      </c>
      <c r="X20" s="207">
        <f t="shared" si="9"/>
        <v>0.0033000000000000004</v>
      </c>
      <c r="Y20" s="207">
        <f t="shared" si="9"/>
        <v>0.0033000000000000004</v>
      </c>
      <c r="Z20" s="207">
        <f t="shared" si="9"/>
        <v>0.0033000000000000004</v>
      </c>
      <c r="AA20" s="274">
        <f t="shared" si="9"/>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8.927383686327275</v>
      </c>
      <c r="F22" s="240">
        <f>(G22-E22)/E22</f>
        <v>0.25</v>
      </c>
      <c r="G22" s="241">
        <f>SUM(G13+G6)</f>
        <v>11.159229607909094</v>
      </c>
      <c r="H22" s="94"/>
      <c r="I22" s="176">
        <f>SUM(I6:I12)+SUM(I14:I20)</f>
        <v>8.927383686327275</v>
      </c>
      <c r="J22" s="164">
        <v>5</v>
      </c>
      <c r="K22" s="97">
        <v>1.8</v>
      </c>
      <c r="L22" s="97">
        <v>3.6</v>
      </c>
      <c r="M22" s="97">
        <v>5</v>
      </c>
      <c r="N22" s="97">
        <v>5</v>
      </c>
      <c r="O22" s="97">
        <v>10</v>
      </c>
      <c r="P22" s="262">
        <v>10</v>
      </c>
      <c r="Q22" s="268">
        <v>5</v>
      </c>
      <c r="R22" s="97">
        <v>10</v>
      </c>
      <c r="S22" s="97">
        <v>10</v>
      </c>
      <c r="T22" s="97">
        <v>225</v>
      </c>
      <c r="U22" s="97">
        <v>225</v>
      </c>
      <c r="V22" s="97">
        <v>30</v>
      </c>
      <c r="W22" s="97">
        <v>30</v>
      </c>
      <c r="X22" s="97">
        <v>30</v>
      </c>
      <c r="Y22" s="97">
        <v>30</v>
      </c>
      <c r="Z22" s="97">
        <v>30</v>
      </c>
      <c r="AA22" s="165">
        <v>30</v>
      </c>
      <c r="AB22" s="150" t="s">
        <v>80</v>
      </c>
      <c r="AC22" s="99"/>
    </row>
    <row r="23" spans="1:29" s="53" customFormat="1" ht="16.5" thickBot="1">
      <c r="A23" s="100"/>
      <c r="B23" s="63"/>
      <c r="C23" s="101"/>
      <c r="D23" s="242" t="s">
        <v>252</v>
      </c>
      <c r="E23" s="244">
        <f>I54</f>
        <v>16.19875853578182</v>
      </c>
      <c r="F23" s="243">
        <f>F22</f>
        <v>0.25</v>
      </c>
      <c r="G23" s="245">
        <f>E23*(1+F23)</f>
        <v>20.248448169727276</v>
      </c>
      <c r="H23" s="94"/>
      <c r="I23" s="177" t="s">
        <v>258</v>
      </c>
      <c r="J23" s="166">
        <f aca="true" t="shared" si="10" ref="J23:AA23">SUM(J6:J12)+SUM(J14:J19)</f>
        <v>0.02775</v>
      </c>
      <c r="K23" s="104">
        <f t="shared" si="10"/>
        <v>0.440044</v>
      </c>
      <c r="L23" s="104">
        <f t="shared" si="10"/>
        <v>0.22836082909090913</v>
      </c>
      <c r="M23" s="104">
        <f t="shared" si="10"/>
        <v>0.05268000000000001</v>
      </c>
      <c r="N23" s="104">
        <f t="shared" si="10"/>
        <v>0.07118000000000001</v>
      </c>
      <c r="O23" s="104">
        <f t="shared" si="10"/>
        <v>0.042010000000000006</v>
      </c>
      <c r="P23" s="116">
        <f t="shared" si="10"/>
        <v>0.034050000000000004</v>
      </c>
      <c r="Q23" s="269">
        <f t="shared" si="10"/>
        <v>0.016</v>
      </c>
      <c r="R23" s="258">
        <f t="shared" si="10"/>
        <v>0.044</v>
      </c>
      <c r="S23" s="104">
        <f t="shared" si="10"/>
        <v>0.033</v>
      </c>
      <c r="T23" s="328">
        <f t="shared" si="10"/>
        <v>0.0006</v>
      </c>
      <c r="U23" s="328">
        <f t="shared" si="10"/>
        <v>0.0006</v>
      </c>
      <c r="V23" s="104">
        <f t="shared" si="10"/>
        <v>0.006</v>
      </c>
      <c r="W23" s="104">
        <f t="shared" si="10"/>
        <v>0.006</v>
      </c>
      <c r="X23" s="104">
        <f t="shared" si="10"/>
        <v>0.006</v>
      </c>
      <c r="Y23" s="104">
        <f t="shared" si="10"/>
        <v>0.006</v>
      </c>
      <c r="Z23" s="104">
        <f t="shared" si="10"/>
        <v>0.006</v>
      </c>
      <c r="AA23" s="167">
        <f t="shared" si="10"/>
        <v>0.006</v>
      </c>
      <c r="AB23" s="150" t="s">
        <v>81</v>
      </c>
      <c r="AC23" s="99"/>
    </row>
    <row r="24" spans="1:29" s="53" customFormat="1" ht="16.5" thickBot="1">
      <c r="A24"/>
      <c r="B24" s="66"/>
      <c r="H24" s="105"/>
      <c r="I24" s="178"/>
      <c r="J24" s="168">
        <f aca="true" t="shared" si="11" ref="J24:AA24">J22*J23</f>
        <v>0.13875</v>
      </c>
      <c r="K24" s="181">
        <f t="shared" si="11"/>
        <v>0.7920792</v>
      </c>
      <c r="L24" s="169">
        <f t="shared" si="11"/>
        <v>0.8220989847272728</v>
      </c>
      <c r="M24" s="169">
        <f t="shared" si="11"/>
        <v>0.2634000000000001</v>
      </c>
      <c r="N24" s="169">
        <f t="shared" si="11"/>
        <v>0.35590000000000005</v>
      </c>
      <c r="O24" s="169">
        <f t="shared" si="11"/>
        <v>0.42010000000000003</v>
      </c>
      <c r="P24" s="263">
        <f t="shared" si="11"/>
        <v>0.3405</v>
      </c>
      <c r="Q24" s="270">
        <f t="shared" si="11"/>
        <v>0.08</v>
      </c>
      <c r="R24" s="169">
        <f t="shared" si="11"/>
        <v>0.43999999999999995</v>
      </c>
      <c r="S24" s="169">
        <f t="shared" si="11"/>
        <v>0.33</v>
      </c>
      <c r="T24" s="169">
        <f t="shared" si="11"/>
        <v>0.13499999999999998</v>
      </c>
      <c r="U24" s="169">
        <f t="shared" si="11"/>
        <v>0.13499999999999998</v>
      </c>
      <c r="V24" s="169">
        <f t="shared" si="11"/>
        <v>0.18</v>
      </c>
      <c r="W24" s="169">
        <f t="shared" si="11"/>
        <v>0.18</v>
      </c>
      <c r="X24" s="169">
        <f t="shared" si="11"/>
        <v>0.18</v>
      </c>
      <c r="Y24" s="169">
        <f t="shared" si="11"/>
        <v>0.18</v>
      </c>
      <c r="Z24" s="169">
        <f t="shared" si="11"/>
        <v>0.18</v>
      </c>
      <c r="AA24" s="170">
        <f t="shared" si="11"/>
        <v>0.18</v>
      </c>
      <c r="AB24" s="151" t="s">
        <v>4</v>
      </c>
      <c r="AC24" s="110"/>
    </row>
    <row r="25" spans="1:29" s="53" customFormat="1" ht="15.75" outlineLevel="1">
      <c r="A25"/>
      <c r="B25" s="39"/>
      <c r="C25" s="63"/>
      <c r="D25" s="63"/>
      <c r="E25" s="112"/>
      <c r="F25" s="112"/>
      <c r="G25" s="112"/>
      <c r="H25" s="94"/>
      <c r="I25" s="1" t="s">
        <v>82</v>
      </c>
      <c r="L25" s="112">
        <v>0.55</v>
      </c>
      <c r="M25" s="113"/>
      <c r="N25" s="79" t="s">
        <v>261</v>
      </c>
      <c r="P25" s="79">
        <f>1/(1+L25)</f>
        <v>0.6451612903225806</v>
      </c>
      <c r="Q25" s="53" t="s">
        <v>262</v>
      </c>
      <c r="S25" s="1" t="s">
        <v>326</v>
      </c>
      <c r="T25" s="319"/>
      <c r="U25" s="319"/>
      <c r="V25" s="319"/>
      <c r="W25" s="1">
        <f>1/Z25-1</f>
        <v>3</v>
      </c>
      <c r="X25" s="79" t="s">
        <v>261</v>
      </c>
      <c r="Z25" s="318">
        <v>0.25</v>
      </c>
      <c r="AA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11.159229607909094</v>
      </c>
      <c r="C28" s="131">
        <f>G23/B33</f>
        <v>0.9203840077148762</v>
      </c>
      <c r="D28" s="450" t="s">
        <v>253</v>
      </c>
      <c r="E28" s="450"/>
      <c r="F28" s="450"/>
      <c r="G28" s="450"/>
      <c r="H28" s="450"/>
      <c r="I28"/>
      <c r="L28" s="324">
        <v>0.5</v>
      </c>
      <c r="M28" t="s">
        <v>346</v>
      </c>
    </row>
    <row r="29" spans="1:21" ht="12.75" outlineLevel="1">
      <c r="A29" s="132" t="s">
        <v>313</v>
      </c>
      <c r="B29" s="21">
        <v>10</v>
      </c>
      <c r="C29" s="131">
        <f>35/F39</f>
        <v>0.2857142857142857</v>
      </c>
      <c r="D29" s="449" t="s">
        <v>333</v>
      </c>
      <c r="E29" s="450"/>
      <c r="F29" s="450"/>
      <c r="G29" s="450"/>
      <c r="H29" s="450"/>
      <c r="L29" s="324">
        <v>0.34</v>
      </c>
      <c r="M29" t="s">
        <v>347</v>
      </c>
      <c r="U29" s="113"/>
    </row>
    <row r="30" spans="1:9" ht="12.75" outlineLevel="1">
      <c r="A30" s="132" t="s">
        <v>99</v>
      </c>
      <c r="B30" s="21">
        <f>C38*B34</f>
        <v>11.804545454545453</v>
      </c>
      <c r="C30" s="21">
        <f>MAX(C37,C40)</f>
        <v>1.9125683060109289</v>
      </c>
      <c r="D30" s="449" t="s">
        <v>115</v>
      </c>
      <c r="E30" s="450"/>
      <c r="F30" s="450"/>
      <c r="G30" s="450"/>
      <c r="H30" s="450"/>
      <c r="I30" s="79"/>
    </row>
    <row r="31" spans="1:13" ht="12.75" outlineLevel="1">
      <c r="A31" s="132" t="s">
        <v>100</v>
      </c>
      <c r="B31" s="21">
        <f>C38*B34</f>
        <v>11.804545454545453</v>
      </c>
      <c r="C31" s="21">
        <f>MAX(C36,C39,C40)</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273</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271</v>
      </c>
      <c r="B37" s="2"/>
      <c r="C37" s="128">
        <f>B34/F37</f>
        <v>1.9125683060109289</v>
      </c>
      <c r="D37" s="127" t="s">
        <v>111</v>
      </c>
      <c r="E37" s="113"/>
      <c r="F37" s="129">
        <f>36.6/2</f>
        <v>18.3</v>
      </c>
      <c r="G37" s="113" t="s">
        <v>102</v>
      </c>
      <c r="I37" s="171" t="s">
        <v>46</v>
      </c>
      <c r="J37" s="152" t="str">
        <f aca="true" t="shared" si="12" ref="J37:AA37">J5</f>
        <v>+5V D</v>
      </c>
      <c r="K37" s="152" t="str">
        <f t="shared" si="12"/>
        <v> +1.8V D</v>
      </c>
      <c r="L37" s="152" t="str">
        <f t="shared" si="12"/>
        <v>+3.6D (1)</v>
      </c>
      <c r="M37" s="152" t="str">
        <f t="shared" si="12"/>
        <v>+5V A</v>
      </c>
      <c r="N37" s="152" t="str">
        <f t="shared" si="12"/>
        <v>-5V A</v>
      </c>
      <c r="O37" s="152" t="str">
        <f t="shared" si="12"/>
        <v>+10VA</v>
      </c>
      <c r="P37" s="152" t="str">
        <f t="shared" si="12"/>
        <v>-10VA</v>
      </c>
      <c r="Q37" s="152" t="str">
        <f t="shared" si="12"/>
        <v>+5V D</v>
      </c>
      <c r="R37" s="152" t="str">
        <f t="shared" si="12"/>
        <v>+10V A</v>
      </c>
      <c r="S37" s="152" t="str">
        <f t="shared" si="12"/>
        <v>-10V A</v>
      </c>
      <c r="T37" s="152" t="str">
        <f t="shared" si="12"/>
        <v>+225V</v>
      </c>
      <c r="U37" s="152" t="str">
        <f t="shared" si="12"/>
        <v>-225V</v>
      </c>
      <c r="V37" s="152" t="str">
        <f t="shared" si="12"/>
        <v>+/-15F1</v>
      </c>
      <c r="W37" s="152" t="str">
        <f t="shared" si="12"/>
        <v>+/-15F2</v>
      </c>
      <c r="X37" s="152" t="str">
        <f t="shared" si="12"/>
        <v>+/-15F3</v>
      </c>
      <c r="Y37" s="152" t="str">
        <f t="shared" si="12"/>
        <v>+/-15F4</v>
      </c>
      <c r="Z37" s="152" t="str">
        <f t="shared" si="12"/>
        <v>+/-10F5</v>
      </c>
      <c r="AA37" s="152" t="str">
        <f t="shared" si="12"/>
        <v>+/-15F6</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314</v>
      </c>
      <c r="C39" s="125">
        <f>B34/F39</f>
        <v>0.2857142857142857</v>
      </c>
      <c r="D39" s="127" t="s">
        <v>111</v>
      </c>
      <c r="E39" s="113"/>
      <c r="F39" s="126">
        <f>(B34*B34)/B29</f>
        <v>122.5</v>
      </c>
      <c r="G39" s="113" t="s">
        <v>102</v>
      </c>
      <c r="I39" s="173">
        <f aca="true" t="shared" si="13" ref="I39:I44">J39*J$22+K39*K$22+L39*L$22+M39*M$22+N39*N$22+O39*O$22+P39*P$22+Q39*Q$22+R39*R$22+S39*S$22+T39*T$22+U39*U$22+V39*V$22+W39*W$22+X39*X$22+Y39*Y$22+Z39*Z$22+AA39*AA$22</f>
        <v>0.18</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1:29" ht="12.75" outlineLevel="1">
      <c r="A40" s="79" t="s">
        <v>272</v>
      </c>
      <c r="C40" s="284">
        <v>1.5</v>
      </c>
      <c r="D40" s="285" t="s">
        <v>312</v>
      </c>
      <c r="I40" s="173">
        <f t="shared" si="13"/>
        <v>0.18</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4:29" ht="12.75" outlineLevel="1">
      <c r="D41" s="285" t="s">
        <v>274</v>
      </c>
      <c r="I41" s="173">
        <f t="shared" si="13"/>
        <v>0.18</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3"/>
        <v>0.18</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3"/>
        <v>0.18</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4:29" ht="12.75" outlineLevel="1">
      <c r="D44" s="16">
        <f>B34*B34/F37</f>
        <v>66.93989071038251</v>
      </c>
      <c r="I44" s="173">
        <f t="shared" si="13"/>
        <v>0.18</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311</v>
      </c>
      <c r="I46" s="173">
        <f aca="true" t="shared" si="14" ref="I46:I52">J46*J$22+K46*K$22+L46*L$22+M46*M$22+N46*N$22+O46*O$22+P46*P$22+Q46*Q$22+R46*R$22+S46*S$22+T46*T$22+U46*U$22+V46*V$22+W46*W$22+X46*X$22+Y46*Y$22+Z46*Z$22+AA46*AA$22</f>
        <v>2.5803</v>
      </c>
      <c r="J46" s="275">
        <f>DFB_Max_2008_07_07!W33/1000</f>
        <v>0.0147</v>
      </c>
      <c r="K46" s="277">
        <f>DFB_Max_2008_07_07!T33/1000</f>
        <v>0.38</v>
      </c>
      <c r="L46" s="278">
        <f>DFB_Max_2008_07_07!Q33/1000</f>
        <v>0.118</v>
      </c>
      <c r="M46" s="277">
        <f>DFB_Max_2008_07_07!K33/1000</f>
        <v>0.0829</v>
      </c>
      <c r="N46" s="277">
        <f>DFB_Max_2008_07_07!N33/1000</f>
        <v>0.1029</v>
      </c>
      <c r="O46" s="278">
        <f>DFB_Max_2008_07_07!E33/1000</f>
        <v>0.0304</v>
      </c>
      <c r="P46" s="277">
        <f>DFB_Max_2008_07_07!H33/1000</f>
        <v>0.0165</v>
      </c>
      <c r="Q46" s="275"/>
      <c r="R46" s="143"/>
      <c r="S46" s="143"/>
      <c r="T46" s="57"/>
      <c r="U46" s="57"/>
      <c r="V46" s="57"/>
      <c r="W46" s="57"/>
      <c r="X46" s="57"/>
      <c r="Y46" s="57"/>
      <c r="Z46" s="57"/>
      <c r="AA46" s="155"/>
      <c r="AB46" s="148"/>
      <c r="AC46" s="58"/>
    </row>
    <row r="47" spans="9:29" ht="12.75" outlineLevel="1">
      <c r="I47" s="173">
        <f t="shared" si="14"/>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4"/>
        <v>2.0400000000000005</v>
      </c>
      <c r="J48" s="250"/>
      <c r="K48" s="251"/>
      <c r="L48" s="57"/>
      <c r="M48" s="144"/>
      <c r="N48" s="144"/>
      <c r="O48" s="182"/>
      <c r="P48" s="261"/>
      <c r="Q48" s="250">
        <f>Q16*1.5</f>
        <v>0.024</v>
      </c>
      <c r="R48" s="253">
        <f>R16*1.5</f>
        <v>0.039</v>
      </c>
      <c r="S48" s="251">
        <f>S16*1.5</f>
        <v>0.0225</v>
      </c>
      <c r="T48" s="329">
        <v>0.0017</v>
      </c>
      <c r="U48" s="329">
        <f>T48</f>
        <v>0.0017</v>
      </c>
      <c r="V48" s="251">
        <f aca="true" t="shared" si="15" ref="V48:AA48">V16*1.5</f>
        <v>0.003</v>
      </c>
      <c r="W48" s="253">
        <f t="shared" si="15"/>
        <v>0.003</v>
      </c>
      <c r="X48" s="251">
        <f t="shared" si="15"/>
        <v>0.003</v>
      </c>
      <c r="Y48" s="251">
        <f t="shared" si="15"/>
        <v>0.003</v>
      </c>
      <c r="Z48" s="251">
        <f t="shared" si="15"/>
        <v>0.003</v>
      </c>
      <c r="AA48" s="252">
        <f t="shared" si="15"/>
        <v>0.003</v>
      </c>
      <c r="AB48" s="148"/>
      <c r="AC48" s="58"/>
    </row>
    <row r="49" spans="8:29" ht="12.75" outlineLevel="1">
      <c r="H49" s="316" t="s">
        <v>325</v>
      </c>
      <c r="I49" s="173">
        <f t="shared" si="14"/>
        <v>0.73125</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row>
    <row r="50" spans="9:29" ht="12.75" outlineLevel="1">
      <c r="I50" s="173">
        <f t="shared" si="14"/>
        <v>0.14400000000000002</v>
      </c>
      <c r="J50" s="159"/>
      <c r="K50" s="57"/>
      <c r="L50" s="143">
        <f>DCB_2008_08_18!G10/1000</f>
        <v>0.04</v>
      </c>
      <c r="M50" s="144"/>
      <c r="N50" s="144"/>
      <c r="O50" s="57"/>
      <c r="P50" s="144"/>
      <c r="Q50" s="266"/>
      <c r="R50" s="57"/>
      <c r="S50" s="57"/>
      <c r="T50" s="57"/>
      <c r="U50" s="57"/>
      <c r="V50" s="57"/>
      <c r="W50" s="57"/>
      <c r="X50" s="57"/>
      <c r="Y50" s="57"/>
      <c r="Z50" s="57"/>
      <c r="AA50" s="155"/>
      <c r="AB50" s="148"/>
      <c r="AC50" s="58"/>
    </row>
    <row r="51" spans="8:29" ht="12.75" outlineLevel="1">
      <c r="H51" s="248" t="s">
        <v>254</v>
      </c>
      <c r="I51" s="173">
        <f t="shared" si="14"/>
        <v>2.1260684101818184</v>
      </c>
      <c r="J51" s="246">
        <f>J19*1.5</f>
        <v>0.03</v>
      </c>
      <c r="K51" s="143">
        <f>DCB_2008_08_18!G24/1000</f>
        <v>0.3732</v>
      </c>
      <c r="L51" s="143">
        <f>DCB_2008_08_18!G23/1000-L50</f>
        <v>0.35119678060606063</v>
      </c>
      <c r="M51" s="237">
        <f>DCB_2008_08_18!J14/10/1000</f>
        <v>0.001</v>
      </c>
      <c r="N51" s="279">
        <f>M51</f>
        <v>0.001</v>
      </c>
      <c r="O51" s="280">
        <f>O19*1.5</f>
        <v>0.0015</v>
      </c>
      <c r="P51" s="281">
        <f>P19*1.5</f>
        <v>0.0015</v>
      </c>
      <c r="Q51" s="250"/>
      <c r="R51" s="57"/>
      <c r="S51" s="57"/>
      <c r="T51" s="57"/>
      <c r="U51" s="57"/>
      <c r="V51" s="57"/>
      <c r="W51" s="57"/>
      <c r="X51" s="57"/>
      <c r="Y51" s="57"/>
      <c r="Z51" s="57"/>
      <c r="AA51" s="155"/>
      <c r="AB51" s="148"/>
      <c r="AC51" s="58"/>
    </row>
    <row r="52" spans="9:29" ht="12.75" outlineLevel="1">
      <c r="I52" s="173">
        <f t="shared" si="14"/>
        <v>6.957140125600002</v>
      </c>
      <c r="J52" s="271">
        <f aca="true" t="shared" si="16" ref="J52:S52">SUM(J38:J51)*$L$25</f>
        <v>0.024585</v>
      </c>
      <c r="K52" s="272">
        <f t="shared" si="16"/>
        <v>0.41426</v>
      </c>
      <c r="L52" s="142">
        <f t="shared" si="16"/>
        <v>0.2800582293333334</v>
      </c>
      <c r="M52" s="207">
        <f t="shared" si="16"/>
        <v>0.04820750000000001</v>
      </c>
      <c r="N52" s="207">
        <f t="shared" si="16"/>
        <v>0.061270000000000005</v>
      </c>
      <c r="O52" s="207">
        <f t="shared" si="16"/>
        <v>0.03817</v>
      </c>
      <c r="P52" s="273">
        <f t="shared" si="16"/>
        <v>0.026400000000000003</v>
      </c>
      <c r="Q52" s="271">
        <f t="shared" si="16"/>
        <v>0.013200000000000002</v>
      </c>
      <c r="R52" s="207">
        <f t="shared" si="16"/>
        <v>0.036300000000000006</v>
      </c>
      <c r="S52" s="207">
        <f t="shared" si="16"/>
        <v>0.027225000000000003</v>
      </c>
      <c r="T52" s="327">
        <f>SUM(T38:T51)*$W$25</f>
        <v>0.0050999999999999995</v>
      </c>
      <c r="U52" s="327">
        <f>SUM(U38:U51)*$W$25</f>
        <v>0.0050999999999999995</v>
      </c>
      <c r="V52" s="207">
        <f aca="true" t="shared" si="17" ref="V52:AA52">SUM(V38:V51)*$L$25</f>
        <v>0.004950000000000001</v>
      </c>
      <c r="W52" s="207">
        <f t="shared" si="17"/>
        <v>0.004950000000000001</v>
      </c>
      <c r="X52" s="207">
        <f t="shared" si="17"/>
        <v>0.004950000000000001</v>
      </c>
      <c r="Y52" s="207">
        <f t="shared" si="17"/>
        <v>0.004950000000000001</v>
      </c>
      <c r="Z52" s="207">
        <f t="shared" si="17"/>
        <v>0.004950000000000001</v>
      </c>
      <c r="AA52" s="274">
        <f t="shared" si="17"/>
        <v>0.004950000000000001</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29" ht="15">
      <c r="I54" s="176">
        <f>SUM(I38:I44)+SUM(I46:I52)</f>
        <v>16.19875853578182</v>
      </c>
      <c r="J54" s="164">
        <f aca="true" t="shared" si="18" ref="J54:AA54">J22</f>
        <v>5</v>
      </c>
      <c r="K54" s="97">
        <f t="shared" si="18"/>
        <v>1.8</v>
      </c>
      <c r="L54" s="97">
        <f t="shared" si="18"/>
        <v>3.6</v>
      </c>
      <c r="M54" s="97">
        <f t="shared" si="18"/>
        <v>5</v>
      </c>
      <c r="N54" s="97">
        <f t="shared" si="18"/>
        <v>5</v>
      </c>
      <c r="O54" s="97">
        <f t="shared" si="18"/>
        <v>10</v>
      </c>
      <c r="P54" s="262">
        <f t="shared" si="18"/>
        <v>10</v>
      </c>
      <c r="Q54" s="164">
        <f t="shared" si="18"/>
        <v>5</v>
      </c>
      <c r="R54" s="97">
        <f t="shared" si="18"/>
        <v>10</v>
      </c>
      <c r="S54" s="97">
        <f t="shared" si="18"/>
        <v>10</v>
      </c>
      <c r="T54" s="97">
        <f t="shared" si="18"/>
        <v>225</v>
      </c>
      <c r="U54" s="97">
        <f t="shared" si="18"/>
        <v>225</v>
      </c>
      <c r="V54" s="97">
        <f t="shared" si="18"/>
        <v>30</v>
      </c>
      <c r="W54" s="97">
        <f t="shared" si="18"/>
        <v>30</v>
      </c>
      <c r="X54" s="97">
        <f t="shared" si="18"/>
        <v>30</v>
      </c>
      <c r="Y54" s="97">
        <f t="shared" si="18"/>
        <v>30</v>
      </c>
      <c r="Z54" s="97">
        <f t="shared" si="18"/>
        <v>30</v>
      </c>
      <c r="AA54" s="165">
        <f t="shared" si="18"/>
        <v>30</v>
      </c>
      <c r="AB54" s="150" t="s">
        <v>80</v>
      </c>
      <c r="AC54" s="99"/>
    </row>
    <row r="55" spans="9:29" ht="15">
      <c r="I55" s="177" t="s">
        <v>252</v>
      </c>
      <c r="J55" s="166">
        <f aca="true" t="shared" si="19" ref="J55:Z55">SUM(J38:J44)+SUM(J46:J51)</f>
        <v>0.0447</v>
      </c>
      <c r="K55" s="104">
        <f t="shared" si="19"/>
        <v>0.7532</v>
      </c>
      <c r="L55" s="104">
        <f t="shared" si="19"/>
        <v>0.5091967806060607</v>
      </c>
      <c r="M55" s="104">
        <f t="shared" si="19"/>
        <v>0.08765</v>
      </c>
      <c r="N55" s="104">
        <f t="shared" si="19"/>
        <v>0.1114</v>
      </c>
      <c r="O55" s="104">
        <f t="shared" si="19"/>
        <v>0.0694</v>
      </c>
      <c r="P55" s="116">
        <f t="shared" si="19"/>
        <v>0.048</v>
      </c>
      <c r="Q55" s="166">
        <f t="shared" si="19"/>
        <v>0.024</v>
      </c>
      <c r="R55" s="258">
        <f t="shared" si="19"/>
        <v>0.066</v>
      </c>
      <c r="S55" s="104">
        <f t="shared" si="19"/>
        <v>0.0495</v>
      </c>
      <c r="T55" s="328">
        <f t="shared" si="19"/>
        <v>0.0017</v>
      </c>
      <c r="U55" s="328">
        <f t="shared" si="19"/>
        <v>0.0017</v>
      </c>
      <c r="V55" s="104">
        <f t="shared" si="19"/>
        <v>0.009000000000000001</v>
      </c>
      <c r="W55" s="104">
        <f t="shared" si="19"/>
        <v>0.009000000000000001</v>
      </c>
      <c r="X55" s="104">
        <f t="shared" si="19"/>
        <v>0.009000000000000001</v>
      </c>
      <c r="Y55" s="104">
        <f t="shared" si="19"/>
        <v>0.009000000000000001</v>
      </c>
      <c r="Z55" s="104">
        <f t="shared" si="19"/>
        <v>0.009000000000000001</v>
      </c>
      <c r="AA55" s="167">
        <f>SUM(AA38:AA44)+SUM(AA46:AA51)</f>
        <v>0.009000000000000001</v>
      </c>
      <c r="AB55" s="150" t="s">
        <v>81</v>
      </c>
      <c r="AC55" s="99"/>
    </row>
    <row r="56" spans="9:29" ht="15.75" thickBot="1">
      <c r="I56" s="178"/>
      <c r="J56" s="168">
        <f aca="true" t="shared" si="20" ref="J56:AA56">J54*J55</f>
        <v>0.22349999999999998</v>
      </c>
      <c r="K56" s="181">
        <f t="shared" si="20"/>
        <v>1.35576</v>
      </c>
      <c r="L56" s="169">
        <f t="shared" si="20"/>
        <v>1.8331084101818185</v>
      </c>
      <c r="M56" s="169">
        <f t="shared" si="20"/>
        <v>0.43825000000000003</v>
      </c>
      <c r="N56" s="169">
        <f t="shared" si="20"/>
        <v>0.5569999999999999</v>
      </c>
      <c r="O56" s="169">
        <f t="shared" si="20"/>
        <v>0.6940000000000001</v>
      </c>
      <c r="P56" s="263">
        <f t="shared" si="20"/>
        <v>0.48</v>
      </c>
      <c r="Q56" s="168">
        <f t="shared" si="20"/>
        <v>0.12</v>
      </c>
      <c r="R56" s="169">
        <f t="shared" si="20"/>
        <v>0.66</v>
      </c>
      <c r="S56" s="169">
        <f t="shared" si="20"/>
        <v>0.495</v>
      </c>
      <c r="T56" s="169">
        <f t="shared" si="20"/>
        <v>0.38249999999999995</v>
      </c>
      <c r="U56" s="169">
        <f t="shared" si="20"/>
        <v>0.38249999999999995</v>
      </c>
      <c r="V56" s="169">
        <f t="shared" si="20"/>
        <v>0.27</v>
      </c>
      <c r="W56" s="169">
        <f t="shared" si="20"/>
        <v>0.27</v>
      </c>
      <c r="X56" s="169">
        <f t="shared" si="20"/>
        <v>0.27</v>
      </c>
      <c r="Y56" s="169">
        <f t="shared" si="20"/>
        <v>0.27</v>
      </c>
      <c r="Z56" s="169">
        <f t="shared" si="20"/>
        <v>0.27</v>
      </c>
      <c r="AA56" s="170">
        <f t="shared" si="20"/>
        <v>0.27</v>
      </c>
      <c r="AB56" s="151" t="s">
        <v>4</v>
      </c>
      <c r="AC56" s="110"/>
    </row>
    <row r="58" ht="12.75">
      <c r="L58" s="139"/>
    </row>
  </sheetData>
  <mergeCells count="16">
    <mergeCell ref="Q6:AA6"/>
    <mergeCell ref="Q38:AA38"/>
    <mergeCell ref="I35:I36"/>
    <mergeCell ref="J35:AC36"/>
    <mergeCell ref="J38:P38"/>
    <mergeCell ref="J6:P6"/>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18.xml><?xml version="1.0" encoding="utf-8"?>
<worksheet xmlns="http://schemas.openxmlformats.org/spreadsheetml/2006/main" xmlns:r="http://schemas.openxmlformats.org/officeDocument/2006/relationships">
  <dimension ref="A1:I22"/>
  <sheetViews>
    <sheetView workbookViewId="0" topLeftCell="A1">
      <selection activeCell="C26" sqref="C26"/>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2008-08-12'!E16</f>
        <v>1.1200000000000003</v>
      </c>
      <c r="C6" s="21">
        <f>B6*1.25</f>
        <v>1.4000000000000004</v>
      </c>
      <c r="D6" s="21"/>
      <c r="E6" s="21">
        <v>0</v>
      </c>
      <c r="F6" s="16"/>
      <c r="G6" s="28">
        <f aca="true" t="shared" si="0" ref="G6:G14">(C6-B6)/B6</f>
        <v>0.24999999999999994</v>
      </c>
      <c r="H6" s="19" t="s">
        <v>28</v>
      </c>
      <c r="I6" s="13"/>
    </row>
    <row r="7" spans="1:9" ht="12.75">
      <c r="A7" s="22" t="s">
        <v>94</v>
      </c>
      <c r="B7" s="21">
        <f>'Detail 2008-08-12'!E15</f>
        <v>0.36000000000000004</v>
      </c>
      <c r="C7" s="21">
        <f>B7*1.25</f>
        <v>0.45000000000000007</v>
      </c>
      <c r="D7" s="21"/>
      <c r="E7" s="21">
        <v>0</v>
      </c>
      <c r="F7" s="16"/>
      <c r="G7" s="28">
        <f t="shared" si="0"/>
        <v>0.25000000000000006</v>
      </c>
      <c r="H7" s="19" t="s">
        <v>323</v>
      </c>
      <c r="I7" s="13"/>
    </row>
    <row r="8" spans="1:9" ht="12.75">
      <c r="A8" s="22" t="s">
        <v>6</v>
      </c>
      <c r="B8" s="21">
        <f>'Detail 2008-08-12'!E14</f>
        <v>1.46271</v>
      </c>
      <c r="C8" s="21">
        <f>B8*1.25</f>
        <v>1.8283874999999998</v>
      </c>
      <c r="D8" s="21"/>
      <c r="E8" s="21">
        <v>0</v>
      </c>
      <c r="F8" s="16"/>
      <c r="G8" s="28">
        <f t="shared" si="0"/>
        <v>0.24999999999999992</v>
      </c>
      <c r="H8" s="123" t="s">
        <v>277</v>
      </c>
      <c r="I8" s="13"/>
    </row>
    <row r="9" spans="1:9" ht="12.75">
      <c r="A9" s="22" t="s">
        <v>7</v>
      </c>
      <c r="B9" s="21">
        <f>'Detail 2008-08-12'!E17+'Detail 2008-08-12'!E18+'Detail 2008-08-12'!E19</f>
        <v>1.6691226210909091</v>
      </c>
      <c r="C9" s="21">
        <f>B9*1.25</f>
        <v>2.0864032763636366</v>
      </c>
      <c r="D9" s="21"/>
      <c r="E9" s="21">
        <v>0</v>
      </c>
      <c r="F9" s="16"/>
      <c r="G9" s="28">
        <f t="shared" si="0"/>
        <v>0.2500000000000001</v>
      </c>
      <c r="H9" s="123" t="s">
        <v>256</v>
      </c>
      <c r="I9" s="13"/>
    </row>
    <row r="10" spans="1:9" ht="12.75">
      <c r="A10" s="22" t="s">
        <v>8</v>
      </c>
      <c r="B10" s="21">
        <f>'Detail 2008-08-12'!E20</f>
        <v>3.5940079416000015</v>
      </c>
      <c r="C10" s="21">
        <f>B10*1.25</f>
        <v>4.492509927000002</v>
      </c>
      <c r="D10" s="21"/>
      <c r="E10" s="21">
        <v>0</v>
      </c>
      <c r="F10" s="16"/>
      <c r="G10" s="28">
        <f t="shared" si="0"/>
        <v>0.2500000000000001</v>
      </c>
      <c r="H10" s="19" t="s">
        <v>327</v>
      </c>
      <c r="I10" s="13"/>
    </row>
    <row r="11" spans="1:9" ht="12.75">
      <c r="A11" s="24" t="s">
        <v>31</v>
      </c>
      <c r="B11" s="25">
        <f>SUM(B6:B10)</f>
        <v>8.205840562690911</v>
      </c>
      <c r="C11" s="25">
        <f>SUM(C6:C10)</f>
        <v>10.25730070336364</v>
      </c>
      <c r="D11" s="21">
        <f>'Detail 2008-08-12'!C28</f>
        <v>0.9425823135000002</v>
      </c>
      <c r="E11" s="25"/>
      <c r="F11" s="16"/>
      <c r="G11" s="28">
        <f t="shared" si="0"/>
        <v>0.25000000000000017</v>
      </c>
      <c r="H11" s="19"/>
      <c r="I11" s="13"/>
    </row>
    <row r="12" spans="1:9" ht="12.75">
      <c r="A12" s="24" t="s">
        <v>22</v>
      </c>
      <c r="B12" s="21">
        <f>'Detail 2008-08-12'!E7+'Detail 2008-08-12'!E8+'Detail 2008-08-12'!E9+'Detail 2008-08-12'!E10</f>
        <v>0.48</v>
      </c>
      <c r="C12" s="21">
        <f>B12*1.25</f>
        <v>0.6</v>
      </c>
      <c r="D12" s="21">
        <v>4</v>
      </c>
      <c r="E12" s="21">
        <v>0</v>
      </c>
      <c r="F12" s="16"/>
      <c r="G12" s="28">
        <f t="shared" si="0"/>
        <v>0.25</v>
      </c>
      <c r="H12" s="19" t="s">
        <v>324</v>
      </c>
      <c r="I12" s="13"/>
    </row>
    <row r="13" spans="1:9" ht="13.5" thickBot="1">
      <c r="A13" s="24" t="s">
        <v>23</v>
      </c>
      <c r="B13" s="21">
        <f>'Detail 2008-08-12'!E11+'Detail 2008-08-12'!E12</f>
        <v>0.24</v>
      </c>
      <c r="C13" s="21">
        <f>B13*1.25</f>
        <v>0.3</v>
      </c>
      <c r="D13" s="21">
        <v>4</v>
      </c>
      <c r="E13" s="21">
        <v>0</v>
      </c>
      <c r="F13" s="16"/>
      <c r="G13" s="28">
        <f t="shared" si="0"/>
        <v>0.25</v>
      </c>
      <c r="H13" s="19" t="s">
        <v>324</v>
      </c>
      <c r="I13" s="13"/>
    </row>
    <row r="14" spans="1:9" ht="13.5" thickBot="1">
      <c r="A14" s="33" t="s">
        <v>2</v>
      </c>
      <c r="B14" s="34">
        <f>SUM(B11:B13)</f>
        <v>8.925840562690912</v>
      </c>
      <c r="C14" s="34">
        <f>SUM(C11:C13)</f>
        <v>11.15730070336364</v>
      </c>
      <c r="D14" s="23"/>
      <c r="E14" s="23"/>
      <c r="F14" s="16"/>
      <c r="G14" s="187">
        <f t="shared" si="0"/>
        <v>0.2500000000000001</v>
      </c>
      <c r="H14" s="15"/>
      <c r="I14" s="13"/>
    </row>
    <row r="15" spans="6:7" ht="13.5" thickTop="1">
      <c r="F15" s="16"/>
      <c r="G15" s="31"/>
    </row>
    <row r="16" spans="1:7" ht="12.75">
      <c r="A16" t="s">
        <v>322</v>
      </c>
      <c r="G16" s="31"/>
    </row>
    <row r="17" ht="12.75">
      <c r="A17" t="s">
        <v>35</v>
      </c>
    </row>
    <row r="18" ht="12.75">
      <c r="A18" t="s">
        <v>329</v>
      </c>
    </row>
    <row r="19" ht="12.75">
      <c r="A19" t="s">
        <v>332</v>
      </c>
    </row>
    <row r="20" ht="12.75">
      <c r="A20" t="s">
        <v>328</v>
      </c>
    </row>
    <row r="21" ht="12.75">
      <c r="A21" s="282" t="s">
        <v>269</v>
      </c>
    </row>
    <row r="22" ht="12.75">
      <c r="A22"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19.xml><?xml version="1.0" encoding="utf-8"?>
<worksheet xmlns="http://schemas.openxmlformats.org/spreadsheetml/2006/main" xmlns:r="http://schemas.openxmlformats.org/officeDocument/2006/relationships">
  <sheetPr>
    <outlinePr summaryBelow="0"/>
    <pageSetUpPr fitToPage="1"/>
  </sheetPr>
  <dimension ref="A1:AC58"/>
  <sheetViews>
    <sheetView zoomScaleSheetLayoutView="100" workbookViewId="0" topLeftCell="C1">
      <selection activeCell="L50" sqref="L50"/>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145" t="s">
        <v>62</v>
      </c>
      <c r="AC5" s="50" t="s">
        <v>63</v>
      </c>
    </row>
    <row r="6" spans="1:29" s="53" customFormat="1" ht="15.75">
      <c r="A6" s="72" t="s">
        <v>66</v>
      </c>
      <c r="B6" s="73"/>
      <c r="C6" s="73"/>
      <c r="D6" s="74" t="str">
        <f aca="true" t="shared" si="0" ref="D6:D20">IF($C6="Concept",0.25,IF($C6="Design",0.15,IF($C6="Prior",0.075,IF($C6="Fab",0.04,IF($C6="Flight",0.02," ")))))</f>
        <v> </v>
      </c>
      <c r="E6" s="119">
        <f>SUM(E7:E12)</f>
        <v>0.72</v>
      </c>
      <c r="F6" s="120">
        <f aca="true" t="shared" si="1" ref="F6:F20">(G6-E6)/E6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30" t="s">
        <v>65</v>
      </c>
      <c r="D7" s="59">
        <f t="shared" si="0"/>
        <v>0.25</v>
      </c>
      <c r="E7" s="67">
        <f aca="true" t="shared" si="2" ref="E7:E12">I7</f>
        <v>0.12</v>
      </c>
      <c r="F7" s="68">
        <f t="shared" si="1"/>
        <v>0.25</v>
      </c>
      <c r="G7" s="118">
        <f aca="true" t="shared" si="3" ref="G7:G12">E7*(1+D7)</f>
        <v>0.15</v>
      </c>
      <c r="H7" s="70"/>
      <c r="I7" s="173">
        <f aca="true" t="shared" si="4" ref="I7:I12">J7*J$22+K7*K$22+L7*L$22+M7*M$22+N7*N$22+O7*O$22+P7*P$22+Q7*Q$22+R7*R$22+S7*S$22+T7*T$22+U7*U$22+V7*V$22+W7*W$22+X7*X$22+Y7*Y$22+Z7*Z$22+AA7*AA$22</f>
        <v>0.12</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30" t="s">
        <v>65</v>
      </c>
      <c r="D8" s="59">
        <f t="shared" si="0"/>
        <v>0.25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30" t="s">
        <v>65</v>
      </c>
      <c r="D9" s="59">
        <f t="shared" si="0"/>
        <v>0.25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30" t="s">
        <v>65</v>
      </c>
      <c r="D10" s="59">
        <f t="shared" si="0"/>
        <v>0.25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30" t="s">
        <v>65</v>
      </c>
      <c r="D11" s="59">
        <f t="shared" si="0"/>
        <v>0.25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30" t="s">
        <v>65</v>
      </c>
      <c r="D12" s="59">
        <f t="shared" si="0"/>
        <v>0.25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8.205840562690911</v>
      </c>
      <c r="F13" s="120">
        <f t="shared" si="1"/>
        <v>0.25000000000000017</v>
      </c>
      <c r="G13" s="121">
        <f>SUM(G14:G20)</f>
        <v>10.25730070336364</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65</v>
      </c>
      <c r="D14" s="77">
        <f t="shared" si="0"/>
        <v>0.25</v>
      </c>
      <c r="E14" s="70">
        <f aca="true" t="shared" si="5" ref="E14:E20">I14</f>
        <v>1.46271</v>
      </c>
      <c r="F14" s="68">
        <f t="shared" si="1"/>
        <v>0.24999999999999992</v>
      </c>
      <c r="G14" s="118">
        <f aca="true" t="shared" si="6" ref="G14:G20">E14*(1+D14)</f>
        <v>1.8283874999999998</v>
      </c>
      <c r="H14" s="70"/>
      <c r="I14" s="173">
        <f aca="true" t="shared" si="7" ref="I14:I20">J14*J$22+K14*K$22+L14*L$22+M14*M$22+N14*N$22+O14*O$22+P14*P$22+Q14*Q$22+R14*R$22+S14*S$22+T14*T$22+U14*U$22+V14*V$22+W14*W$22+X14*X$22+Y14*Y$22+Z14*Z$22+AA14*AA$22</f>
        <v>1.46271</v>
      </c>
      <c r="J14" s="159">
        <f>DFB_Typ_2008_07_07!W33/1000</f>
        <v>0.00775</v>
      </c>
      <c r="K14" s="57">
        <f>DFB_Typ_2008_07_07!T33/1000</f>
        <v>0.19</v>
      </c>
      <c r="L14" s="57">
        <f>DFB_Typ_2008_07_07!Q33/1000</f>
        <v>0.0596</v>
      </c>
      <c r="M14" s="57">
        <f>DFB_Typ_2008_07_07!K33/1000</f>
        <v>0.04968000000000001</v>
      </c>
      <c r="N14" s="144">
        <f>DFB_Typ_2008_07_07!N33/1000</f>
        <v>0.06568</v>
      </c>
      <c r="O14" s="207">
        <f>DFB_Typ_2008_07_07!E33/1000</f>
        <v>0.01601</v>
      </c>
      <c r="P14" s="144">
        <f>DFB_Typ_2008_07_07!H33/1000</f>
        <v>0.013050000000000003</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5"/>
        <v>0.36000000000000004</v>
      </c>
      <c r="F15" s="68">
        <f t="shared" si="1"/>
        <v>0.25000000000000006</v>
      </c>
      <c r="G15" s="118">
        <f t="shared" si="6"/>
        <v>0.45000000000000007</v>
      </c>
      <c r="H15" s="70"/>
      <c r="I15" s="173">
        <f t="shared" si="7"/>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65</v>
      </c>
      <c r="D16" s="59">
        <f t="shared" si="0"/>
        <v>0.25</v>
      </c>
      <c r="E16" s="67">
        <f t="shared" si="5"/>
        <v>1.1200000000000003</v>
      </c>
      <c r="F16" s="68">
        <f t="shared" si="1"/>
        <v>0.24999999999999994</v>
      </c>
      <c r="G16" s="118">
        <f t="shared" si="6"/>
        <v>1.4000000000000004</v>
      </c>
      <c r="H16" s="70"/>
      <c r="I16" s="173">
        <f t="shared" si="7"/>
        <v>1.1200000000000003</v>
      </c>
      <c r="J16" s="159"/>
      <c r="K16" s="57"/>
      <c r="L16" s="57"/>
      <c r="M16" s="57"/>
      <c r="N16" s="57"/>
      <c r="O16" s="182"/>
      <c r="P16" s="261"/>
      <c r="Q16" s="267">
        <v>0.016</v>
      </c>
      <c r="R16" s="57">
        <v>0.026</v>
      </c>
      <c r="S16" s="57">
        <v>0.015</v>
      </c>
      <c r="T16" s="57">
        <f>0.001*0.6</f>
        <v>0.0006</v>
      </c>
      <c r="U16" s="57">
        <f>0.001*0.6</f>
        <v>0.0006</v>
      </c>
      <c r="V16" s="57">
        <v>0.002</v>
      </c>
      <c r="W16" s="57">
        <v>0.002</v>
      </c>
      <c r="X16" s="57">
        <v>0.002</v>
      </c>
      <c r="Y16" s="57">
        <v>0.002</v>
      </c>
      <c r="Z16" s="57">
        <v>0.002</v>
      </c>
      <c r="AA16" s="155">
        <v>0.002</v>
      </c>
      <c r="AB16" s="148"/>
      <c r="AC16" s="58"/>
    </row>
    <row r="17" spans="1:29" ht="12.75" outlineLevel="1">
      <c r="A17" s="64" t="s">
        <v>76</v>
      </c>
      <c r="B17" s="65" t="s">
        <v>13</v>
      </c>
      <c r="C17" s="30" t="s">
        <v>65</v>
      </c>
      <c r="D17" s="59">
        <f t="shared" si="0"/>
        <v>0.25</v>
      </c>
      <c r="E17" s="67">
        <f t="shared" si="5"/>
        <v>0.4875</v>
      </c>
      <c r="F17" s="68">
        <f t="shared" si="1"/>
        <v>0.25000000000000006</v>
      </c>
      <c r="G17" s="118">
        <f t="shared" si="6"/>
        <v>0.609375</v>
      </c>
      <c r="H17" s="70"/>
      <c r="I17" s="173">
        <f t="shared" si="7"/>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30" t="s">
        <v>65</v>
      </c>
      <c r="D18" s="59">
        <f t="shared" si="0"/>
        <v>0.25</v>
      </c>
      <c r="E18" s="67">
        <f t="shared" si="5"/>
        <v>0.23040000000000002</v>
      </c>
      <c r="F18" s="68">
        <f t="shared" si="1"/>
        <v>0.25000000000000006</v>
      </c>
      <c r="G18" s="118">
        <f t="shared" si="6"/>
        <v>0.28800000000000003</v>
      </c>
      <c r="H18" s="70"/>
      <c r="I18" s="173">
        <f t="shared" si="7"/>
        <v>0.23040000000000002</v>
      </c>
      <c r="J18" s="159"/>
      <c r="K18" s="57"/>
      <c r="L18" s="57">
        <f>DCB_2008_02_12!$H$10/1000</f>
        <v>0.064</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30" t="s">
        <v>65</v>
      </c>
      <c r="D19" s="59">
        <f t="shared" si="0"/>
        <v>0.25</v>
      </c>
      <c r="E19" s="67">
        <f t="shared" si="5"/>
        <v>0.9512226210909093</v>
      </c>
      <c r="F19" s="68">
        <f t="shared" si="1"/>
        <v>0.25000000000000006</v>
      </c>
      <c r="G19" s="118">
        <f t="shared" si="6"/>
        <v>1.1890282763636366</v>
      </c>
      <c r="H19" s="70"/>
      <c r="I19" s="173">
        <f t="shared" si="7"/>
        <v>0.9512226210909093</v>
      </c>
      <c r="J19" s="159">
        <v>0.02</v>
      </c>
      <c r="K19" s="57">
        <f>DCB_2008_02_12!$H$24/1000</f>
        <v>0.10733333333333332</v>
      </c>
      <c r="L19" s="57">
        <f>DCB_2008_02_12!$H$23/1000-L18</f>
        <v>0.17500628363636367</v>
      </c>
      <c r="M19" s="57">
        <f>DCB_2008_02_12!K14/10/1000</f>
        <v>0.0008</v>
      </c>
      <c r="N19" s="144">
        <f>M19</f>
        <v>0.0008</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30" t="s">
        <v>65</v>
      </c>
      <c r="D20" s="83">
        <f t="shared" si="0"/>
        <v>0.25</v>
      </c>
      <c r="E20" s="84">
        <f t="shared" si="5"/>
        <v>3.5940079416000015</v>
      </c>
      <c r="F20" s="68">
        <f t="shared" si="1"/>
        <v>0.2500000000000001</v>
      </c>
      <c r="G20" s="118">
        <f t="shared" si="6"/>
        <v>4.492509927000002</v>
      </c>
      <c r="H20" s="70"/>
      <c r="I20" s="173">
        <f t="shared" si="7"/>
        <v>3.5940079416000015</v>
      </c>
      <c r="J20" s="271">
        <f aca="true" t="shared" si="8" ref="J20:AA20">SUM(J6:J19)*$L$25</f>
        <v>0.015262500000000002</v>
      </c>
      <c r="K20" s="272">
        <f t="shared" si="8"/>
        <v>0.16353333333333334</v>
      </c>
      <c r="L20" s="142">
        <f t="shared" si="8"/>
        <v>0.16423345600000003</v>
      </c>
      <c r="M20" s="207">
        <f t="shared" si="8"/>
        <v>0.02913900000000001</v>
      </c>
      <c r="N20" s="207">
        <f t="shared" si="8"/>
        <v>0.039314</v>
      </c>
      <c r="O20" s="207">
        <f t="shared" si="8"/>
        <v>0.023105500000000005</v>
      </c>
      <c r="P20" s="273">
        <f t="shared" si="8"/>
        <v>0.018727500000000005</v>
      </c>
      <c r="Q20" s="271">
        <f t="shared" si="8"/>
        <v>0.0088</v>
      </c>
      <c r="R20" s="207">
        <f t="shared" si="8"/>
        <v>0.0242</v>
      </c>
      <c r="S20" s="207">
        <f t="shared" si="8"/>
        <v>0.018150000000000003</v>
      </c>
      <c r="T20" s="207">
        <f>SUM(T6:T19)*$W$25</f>
        <v>0.0018</v>
      </c>
      <c r="U20" s="207">
        <f>SUM(U6:U19)*$W$25</f>
        <v>0.0018</v>
      </c>
      <c r="V20" s="207">
        <f t="shared" si="8"/>
        <v>0.0033000000000000004</v>
      </c>
      <c r="W20" s="207">
        <f t="shared" si="8"/>
        <v>0.0033000000000000004</v>
      </c>
      <c r="X20" s="207">
        <f t="shared" si="8"/>
        <v>0.0033000000000000004</v>
      </c>
      <c r="Y20" s="207">
        <f t="shared" si="8"/>
        <v>0.0033000000000000004</v>
      </c>
      <c r="Z20" s="207">
        <f t="shared" si="8"/>
        <v>0.0033000000000000004</v>
      </c>
      <c r="AA20" s="274">
        <f t="shared" si="8"/>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8.925840562690912</v>
      </c>
      <c r="F22" s="240">
        <f>(G22-E22)/E22</f>
        <v>0.2500000000000001</v>
      </c>
      <c r="G22" s="241">
        <f>SUM(G13+G6)</f>
        <v>11.15730070336364</v>
      </c>
      <c r="H22" s="94"/>
      <c r="I22" s="176">
        <f>SUM(I6:I12)+SUM(I14:I20)</f>
        <v>8.925840562690912</v>
      </c>
      <c r="J22" s="164">
        <v>5</v>
      </c>
      <c r="K22" s="97">
        <v>1.8</v>
      </c>
      <c r="L22" s="97">
        <v>3.6</v>
      </c>
      <c r="M22" s="97">
        <v>5</v>
      </c>
      <c r="N22" s="97">
        <v>5</v>
      </c>
      <c r="O22" s="97">
        <v>10</v>
      </c>
      <c r="P22" s="262">
        <v>10</v>
      </c>
      <c r="Q22" s="268">
        <v>5</v>
      </c>
      <c r="R22" s="97">
        <v>10</v>
      </c>
      <c r="S22" s="97">
        <v>10</v>
      </c>
      <c r="T22" s="97">
        <v>225</v>
      </c>
      <c r="U22" s="97">
        <v>225</v>
      </c>
      <c r="V22" s="97">
        <v>30</v>
      </c>
      <c r="W22" s="97">
        <v>30</v>
      </c>
      <c r="X22" s="97">
        <v>30</v>
      </c>
      <c r="Y22" s="97">
        <v>30</v>
      </c>
      <c r="Z22" s="97">
        <v>30</v>
      </c>
      <c r="AA22" s="165">
        <v>30</v>
      </c>
      <c r="AB22" s="150" t="s">
        <v>80</v>
      </c>
      <c r="AC22" s="99"/>
    </row>
    <row r="23" spans="1:29" s="53" customFormat="1" ht="16.5" thickBot="1">
      <c r="A23" s="100"/>
      <c r="B23" s="63"/>
      <c r="C23" s="101"/>
      <c r="D23" s="242" t="s">
        <v>252</v>
      </c>
      <c r="E23" s="244">
        <f>I54</f>
        <v>16.589448717600003</v>
      </c>
      <c r="F23" s="243">
        <f>F22</f>
        <v>0.2500000000000001</v>
      </c>
      <c r="G23" s="245">
        <f>E23*(1+F23)</f>
        <v>20.736810897000005</v>
      </c>
      <c r="H23" s="94"/>
      <c r="I23" s="177" t="s">
        <v>258</v>
      </c>
      <c r="J23" s="166">
        <f aca="true" t="shared" si="9" ref="J23:AA23">SUM(J6:J12)+SUM(J14:J19)</f>
        <v>0.02775</v>
      </c>
      <c r="K23" s="104">
        <f t="shared" si="9"/>
        <v>0.29733333333333334</v>
      </c>
      <c r="L23" s="104">
        <f t="shared" si="9"/>
        <v>0.29860628363636366</v>
      </c>
      <c r="M23" s="104">
        <f t="shared" si="9"/>
        <v>0.05298000000000001</v>
      </c>
      <c r="N23" s="104">
        <f t="shared" si="9"/>
        <v>0.07148</v>
      </c>
      <c r="O23" s="104">
        <f t="shared" si="9"/>
        <v>0.042010000000000006</v>
      </c>
      <c r="P23" s="116">
        <f t="shared" si="9"/>
        <v>0.034050000000000004</v>
      </c>
      <c r="Q23" s="269">
        <f t="shared" si="9"/>
        <v>0.016</v>
      </c>
      <c r="R23" s="258">
        <f t="shared" si="9"/>
        <v>0.044</v>
      </c>
      <c r="S23" s="104">
        <f t="shared" si="9"/>
        <v>0.033</v>
      </c>
      <c r="T23" s="104">
        <f t="shared" si="9"/>
        <v>0.0006</v>
      </c>
      <c r="U23" s="104">
        <f t="shared" si="9"/>
        <v>0.0006</v>
      </c>
      <c r="V23" s="104">
        <f t="shared" si="9"/>
        <v>0.006</v>
      </c>
      <c r="W23" s="104">
        <f t="shared" si="9"/>
        <v>0.006</v>
      </c>
      <c r="X23" s="104">
        <f t="shared" si="9"/>
        <v>0.006</v>
      </c>
      <c r="Y23" s="104">
        <f t="shared" si="9"/>
        <v>0.006</v>
      </c>
      <c r="Z23" s="104">
        <f t="shared" si="9"/>
        <v>0.006</v>
      </c>
      <c r="AA23" s="167">
        <f t="shared" si="9"/>
        <v>0.006</v>
      </c>
      <c r="AB23" s="150" t="s">
        <v>81</v>
      </c>
      <c r="AC23" s="99"/>
    </row>
    <row r="24" spans="1:29" s="53" customFormat="1" ht="16.5" thickBot="1">
      <c r="A24"/>
      <c r="B24" s="66"/>
      <c r="H24" s="105"/>
      <c r="I24" s="178"/>
      <c r="J24" s="168">
        <f aca="true" t="shared" si="10" ref="J24:AA24">J22*J23</f>
        <v>0.13875</v>
      </c>
      <c r="K24" s="181">
        <f t="shared" si="10"/>
        <v>0.5352</v>
      </c>
      <c r="L24" s="169">
        <f t="shared" si="10"/>
        <v>1.0749826210909093</v>
      </c>
      <c r="M24" s="169">
        <f t="shared" si="10"/>
        <v>0.2649000000000001</v>
      </c>
      <c r="N24" s="169">
        <f t="shared" si="10"/>
        <v>0.3574</v>
      </c>
      <c r="O24" s="169">
        <f t="shared" si="10"/>
        <v>0.42010000000000003</v>
      </c>
      <c r="P24" s="263">
        <f t="shared" si="10"/>
        <v>0.3405</v>
      </c>
      <c r="Q24" s="270">
        <f t="shared" si="10"/>
        <v>0.08</v>
      </c>
      <c r="R24" s="169">
        <f t="shared" si="10"/>
        <v>0.43999999999999995</v>
      </c>
      <c r="S24" s="169">
        <f t="shared" si="10"/>
        <v>0.33</v>
      </c>
      <c r="T24" s="169">
        <f t="shared" si="10"/>
        <v>0.13499999999999998</v>
      </c>
      <c r="U24" s="169">
        <f t="shared" si="10"/>
        <v>0.13499999999999998</v>
      </c>
      <c r="V24" s="169">
        <f t="shared" si="10"/>
        <v>0.18</v>
      </c>
      <c r="W24" s="169">
        <f t="shared" si="10"/>
        <v>0.18</v>
      </c>
      <c r="X24" s="169">
        <f t="shared" si="10"/>
        <v>0.18</v>
      </c>
      <c r="Y24" s="169">
        <f t="shared" si="10"/>
        <v>0.18</v>
      </c>
      <c r="Z24" s="169">
        <f t="shared" si="10"/>
        <v>0.18</v>
      </c>
      <c r="AA24" s="170">
        <f t="shared" si="10"/>
        <v>0.18</v>
      </c>
      <c r="AB24" s="151" t="s">
        <v>4</v>
      </c>
      <c r="AC24" s="110"/>
    </row>
    <row r="25" spans="1:29" s="53" customFormat="1" ht="15.75" outlineLevel="1">
      <c r="A25"/>
      <c r="B25" s="39"/>
      <c r="C25" s="63"/>
      <c r="D25" s="63"/>
      <c r="E25" s="112"/>
      <c r="F25" s="112"/>
      <c r="G25" s="112"/>
      <c r="H25" s="94"/>
      <c r="I25" s="1" t="s">
        <v>82</v>
      </c>
      <c r="L25" s="112">
        <v>0.55</v>
      </c>
      <c r="M25" s="113"/>
      <c r="N25" s="79" t="s">
        <v>261</v>
      </c>
      <c r="P25" s="79">
        <f>1/(1+L25)</f>
        <v>0.6451612903225806</v>
      </c>
      <c r="Q25" s="53" t="s">
        <v>262</v>
      </c>
      <c r="S25" s="1" t="s">
        <v>326</v>
      </c>
      <c r="T25" s="319"/>
      <c r="U25" s="319"/>
      <c r="V25" s="319"/>
      <c r="W25" s="1">
        <f>1/Z25-1</f>
        <v>3</v>
      </c>
      <c r="X25" s="79" t="s">
        <v>261</v>
      </c>
      <c r="Z25" s="318">
        <v>0.25</v>
      </c>
      <c r="AA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11.15730070336364</v>
      </c>
      <c r="C28" s="131">
        <f>G23/B33</f>
        <v>0.9425823135000002</v>
      </c>
      <c r="D28" s="450" t="s">
        <v>253</v>
      </c>
      <c r="E28" s="450"/>
      <c r="F28" s="450"/>
      <c r="G28" s="450"/>
      <c r="H28" s="450"/>
      <c r="I28"/>
      <c r="M28" s="139"/>
    </row>
    <row r="29" spans="1:21" ht="12.75" outlineLevel="1">
      <c r="A29" s="132" t="s">
        <v>313</v>
      </c>
      <c r="B29" s="21">
        <v>10</v>
      </c>
      <c r="C29" s="131">
        <f>35/F39</f>
        <v>0.2857142857142857</v>
      </c>
      <c r="D29" s="449" t="s">
        <v>333</v>
      </c>
      <c r="E29" s="450"/>
      <c r="F29" s="450"/>
      <c r="G29" s="450"/>
      <c r="H29" s="450"/>
      <c r="L29" s="139"/>
      <c r="U29" s="113"/>
    </row>
    <row r="30" spans="1:9" ht="12.75" outlineLevel="1">
      <c r="A30" s="132" t="s">
        <v>99</v>
      </c>
      <c r="B30" s="21">
        <f>C38*B34</f>
        <v>11.804545454545453</v>
      </c>
      <c r="C30" s="21">
        <f>MAX(C37,C40)</f>
        <v>1.9125683060109289</v>
      </c>
      <c r="D30" s="449" t="s">
        <v>115</v>
      </c>
      <c r="E30" s="450"/>
      <c r="F30" s="450"/>
      <c r="G30" s="450"/>
      <c r="H30" s="450"/>
      <c r="I30" s="79"/>
    </row>
    <row r="31" spans="1:13" ht="12.75" outlineLevel="1">
      <c r="A31" s="132" t="s">
        <v>100</v>
      </c>
      <c r="B31" s="21">
        <f>C38*B34</f>
        <v>11.804545454545453</v>
      </c>
      <c r="C31" s="21">
        <f>MAX(C36,C39,C40)</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273</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271</v>
      </c>
      <c r="B37" s="2"/>
      <c r="C37" s="128">
        <f>B34/F37</f>
        <v>1.9125683060109289</v>
      </c>
      <c r="D37" s="127" t="s">
        <v>111</v>
      </c>
      <c r="E37" s="113"/>
      <c r="F37" s="129">
        <f>36.6/2</f>
        <v>18.3</v>
      </c>
      <c r="G37" s="113" t="s">
        <v>102</v>
      </c>
      <c r="I37" s="171" t="s">
        <v>46</v>
      </c>
      <c r="J37" s="152" t="str">
        <f>J5</f>
        <v>+5V D</v>
      </c>
      <c r="K37" s="152" t="str">
        <f aca="true" t="shared" si="11" ref="K37:AA37">K5</f>
        <v> +1.8V D</v>
      </c>
      <c r="L37" s="152" t="str">
        <f t="shared" si="11"/>
        <v>+3.6D (1)</v>
      </c>
      <c r="M37" s="152" t="str">
        <f t="shared" si="11"/>
        <v>+5V A</v>
      </c>
      <c r="N37" s="152" t="str">
        <f t="shared" si="11"/>
        <v>-5V A</v>
      </c>
      <c r="O37" s="152" t="str">
        <f t="shared" si="11"/>
        <v>+10VA</v>
      </c>
      <c r="P37" s="152" t="str">
        <f t="shared" si="11"/>
        <v>-10VA</v>
      </c>
      <c r="Q37" s="152" t="str">
        <f t="shared" si="11"/>
        <v>+5V D</v>
      </c>
      <c r="R37" s="152" t="str">
        <f t="shared" si="11"/>
        <v>+10V A</v>
      </c>
      <c r="S37" s="152" t="str">
        <f t="shared" si="11"/>
        <v>-10V A</v>
      </c>
      <c r="T37" s="152" t="str">
        <f t="shared" si="11"/>
        <v>+225V</v>
      </c>
      <c r="U37" s="152" t="str">
        <f t="shared" si="11"/>
        <v>-225V</v>
      </c>
      <c r="V37" s="152" t="str">
        <f t="shared" si="11"/>
        <v>+/-15F1</v>
      </c>
      <c r="W37" s="152" t="str">
        <f t="shared" si="11"/>
        <v>+/-15F2</v>
      </c>
      <c r="X37" s="152" t="str">
        <f t="shared" si="11"/>
        <v>+/-15F3</v>
      </c>
      <c r="Y37" s="152" t="str">
        <f t="shared" si="11"/>
        <v>+/-15F4</v>
      </c>
      <c r="Z37" s="152" t="str">
        <f t="shared" si="11"/>
        <v>+/-10F5</v>
      </c>
      <c r="AA37" s="152" t="str">
        <f t="shared" si="11"/>
        <v>+/-15F6</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314</v>
      </c>
      <c r="C39" s="125">
        <f>B34/F39</f>
        <v>0.2857142857142857</v>
      </c>
      <c r="D39" s="127" t="s">
        <v>111</v>
      </c>
      <c r="E39" s="113"/>
      <c r="F39" s="126">
        <f>(B34*B34)/B29</f>
        <v>122.5</v>
      </c>
      <c r="G39" s="113" t="s">
        <v>102</v>
      </c>
      <c r="I39" s="173">
        <f aca="true" t="shared" si="12" ref="I39:I44">J39*J$22+K39*K$22+L39*L$22+M39*M$22+N39*N$22+O39*O$22+P39*P$22+Q39*Q$22+R39*R$22+S39*S$22+T39*T$22+U39*U$22+V39*V$22+W39*W$22+X39*X$22+Y39*Y$22+Z39*Z$22+AA39*AA$22</f>
        <v>0.18</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1:29" ht="12.75" outlineLevel="1">
      <c r="A40" s="79" t="s">
        <v>272</v>
      </c>
      <c r="C40" s="284">
        <v>1.5</v>
      </c>
      <c r="D40" s="285" t="s">
        <v>312</v>
      </c>
      <c r="I40" s="173">
        <f t="shared" si="12"/>
        <v>0.18</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4:29" ht="12.75" outlineLevel="1">
      <c r="D41" s="285" t="s">
        <v>274</v>
      </c>
      <c r="I41" s="173">
        <f t="shared" si="12"/>
        <v>0.18</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2"/>
        <v>0.18</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2"/>
        <v>0.18</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4:29" ht="12.75" outlineLevel="1">
      <c r="D44" s="16">
        <f>B34*B34/F37</f>
        <v>66.93989071038251</v>
      </c>
      <c r="I44" s="173">
        <f t="shared" si="12"/>
        <v>0.18</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311</v>
      </c>
      <c r="I46" s="173">
        <f aca="true" t="shared" si="13" ref="I46:I52">J46*J$22+K46*K$22+L46*L$22+M46*M$22+N46*N$22+O46*O$22+P46*P$22+Q46*Q$22+R46*R$22+S46*S$22+T46*T$22+U46*U$22+V46*V$22+W46*W$22+X46*X$22+Y46*Y$22+Z46*Z$22+AA46*AA$22</f>
        <v>2.5803</v>
      </c>
      <c r="J46" s="275">
        <f>DFB_Max_2008_07_07!W33/1000</f>
        <v>0.0147</v>
      </c>
      <c r="K46" s="277">
        <f>DFB_Max_2008_07_07!T33/1000</f>
        <v>0.38</v>
      </c>
      <c r="L46" s="278">
        <f>DFB_Max_2008_07_07!Q33/1000</f>
        <v>0.118</v>
      </c>
      <c r="M46" s="277">
        <f>DFB_Max_2008_07_07!K33/1000</f>
        <v>0.0829</v>
      </c>
      <c r="N46" s="277">
        <f>DFB_Max_2008_07_07!N33/1000</f>
        <v>0.1029</v>
      </c>
      <c r="O46" s="278">
        <f>DFB_Max_2008_07_07!E33/1000</f>
        <v>0.0304</v>
      </c>
      <c r="P46" s="277">
        <f>DFB_Max_2008_07_07!H33/1000</f>
        <v>0.0165</v>
      </c>
      <c r="Q46" s="275"/>
      <c r="R46" s="143"/>
      <c r="S46" s="143"/>
      <c r="T46" s="57"/>
      <c r="U46" s="57"/>
      <c r="V46" s="57"/>
      <c r="W46" s="57"/>
      <c r="X46" s="57"/>
      <c r="Y46" s="57"/>
      <c r="Z46" s="57"/>
      <c r="AA46" s="155"/>
      <c r="AB46" s="148"/>
      <c r="AC46" s="58"/>
    </row>
    <row r="47" spans="9:29" ht="12.75" outlineLevel="1">
      <c r="I47" s="173">
        <f t="shared" si="13"/>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3"/>
        <v>2.0400000000000005</v>
      </c>
      <c r="J48" s="250"/>
      <c r="K48" s="251"/>
      <c r="L48" s="57"/>
      <c r="M48" s="144"/>
      <c r="N48" s="144"/>
      <c r="O48" s="182"/>
      <c r="P48" s="261"/>
      <c r="Q48" s="250">
        <f>Q16*1.5</f>
        <v>0.024</v>
      </c>
      <c r="R48" s="253">
        <f>R16*1.5</f>
        <v>0.039</v>
      </c>
      <c r="S48" s="251">
        <f>S16*1.5</f>
        <v>0.0225</v>
      </c>
      <c r="T48" s="317">
        <v>0.0017</v>
      </c>
      <c r="U48" s="317">
        <f>T48</f>
        <v>0.0017</v>
      </c>
      <c r="V48" s="251">
        <f aca="true" t="shared" si="14" ref="V48:AA48">V16*1.5</f>
        <v>0.003</v>
      </c>
      <c r="W48" s="253">
        <f t="shared" si="14"/>
        <v>0.003</v>
      </c>
      <c r="X48" s="251">
        <f t="shared" si="14"/>
        <v>0.003</v>
      </c>
      <c r="Y48" s="251">
        <f t="shared" si="14"/>
        <v>0.003</v>
      </c>
      <c r="Z48" s="251">
        <f t="shared" si="14"/>
        <v>0.003</v>
      </c>
      <c r="AA48" s="252">
        <f t="shared" si="14"/>
        <v>0.003</v>
      </c>
      <c r="AB48" s="148"/>
      <c r="AC48" s="58"/>
    </row>
    <row r="49" spans="8:29" ht="12.75" outlineLevel="1">
      <c r="H49" s="316" t="s">
        <v>325</v>
      </c>
      <c r="I49" s="173">
        <f t="shared" si="13"/>
        <v>0.73125</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row>
    <row r="50" spans="9:29" ht="12.75" outlineLevel="1">
      <c r="I50" s="173">
        <f t="shared" si="13"/>
        <v>0.3456</v>
      </c>
      <c r="J50" s="159"/>
      <c r="K50" s="57"/>
      <c r="L50" s="143">
        <f>DCB_2008_02_12!G10/1000</f>
        <v>0.096</v>
      </c>
      <c r="M50" s="144"/>
      <c r="N50" s="144"/>
      <c r="O50" s="57"/>
      <c r="P50" s="144"/>
      <c r="Q50" s="266"/>
      <c r="R50" s="57"/>
      <c r="S50" s="57"/>
      <c r="T50" s="57"/>
      <c r="U50" s="57"/>
      <c r="V50" s="57"/>
      <c r="W50" s="57"/>
      <c r="X50" s="57"/>
      <c r="Y50" s="57"/>
      <c r="Z50" s="57"/>
      <c r="AA50" s="155"/>
      <c r="AB50" s="148"/>
      <c r="AC50" s="58"/>
    </row>
    <row r="51" spans="8:29" ht="12.75" outlineLevel="1">
      <c r="H51" s="248" t="s">
        <v>254</v>
      </c>
      <c r="I51" s="173">
        <f t="shared" si="13"/>
        <v>2.176526592</v>
      </c>
      <c r="J51" s="246">
        <f>J19*1.5</f>
        <v>0.03</v>
      </c>
      <c r="K51" s="143">
        <f>DCB_2008_02_12!G24/1000</f>
        <v>0.21466666666666664</v>
      </c>
      <c r="L51" s="143">
        <f>DCB_2008_02_12!G23/1000-L50</f>
        <v>0.4439240533333334</v>
      </c>
      <c r="M51" s="237">
        <f>DCB_2008_02_12!J14/10/1000</f>
        <v>0.0012</v>
      </c>
      <c r="N51" s="279">
        <f>M51</f>
        <v>0.0012</v>
      </c>
      <c r="O51" s="280">
        <f>O19*1.5</f>
        <v>0.0015</v>
      </c>
      <c r="P51" s="281">
        <f>P19*1.5</f>
        <v>0.0015</v>
      </c>
      <c r="Q51" s="250"/>
      <c r="R51" s="57"/>
      <c r="S51" s="57"/>
      <c r="T51" s="57"/>
      <c r="U51" s="57"/>
      <c r="V51" s="57"/>
      <c r="W51" s="57"/>
      <c r="X51" s="57"/>
      <c r="Y51" s="57"/>
      <c r="Z51" s="57"/>
      <c r="AA51" s="155"/>
      <c r="AB51" s="148"/>
      <c r="AC51" s="58"/>
    </row>
    <row r="52" spans="9:29" ht="12.75" outlineLevel="1">
      <c r="I52" s="173">
        <f t="shared" si="13"/>
        <v>7.095772125600002</v>
      </c>
      <c r="J52" s="271">
        <f aca="true" t="shared" si="15" ref="J52:AA52">SUM(J38:J51)*$L$25</f>
        <v>0.024585</v>
      </c>
      <c r="K52" s="272">
        <f t="shared" si="15"/>
        <v>0.32706666666666667</v>
      </c>
      <c r="L52" s="142">
        <f t="shared" si="15"/>
        <v>0.3618582293333334</v>
      </c>
      <c r="M52" s="207">
        <f t="shared" si="15"/>
        <v>0.04831750000000001</v>
      </c>
      <c r="N52" s="207">
        <f t="shared" si="15"/>
        <v>0.06138000000000001</v>
      </c>
      <c r="O52" s="207">
        <f t="shared" si="15"/>
        <v>0.03817</v>
      </c>
      <c r="P52" s="273">
        <f t="shared" si="15"/>
        <v>0.026400000000000003</v>
      </c>
      <c r="Q52" s="271">
        <f t="shared" si="15"/>
        <v>0.013200000000000002</v>
      </c>
      <c r="R52" s="207">
        <f t="shared" si="15"/>
        <v>0.036300000000000006</v>
      </c>
      <c r="S52" s="207">
        <f t="shared" si="15"/>
        <v>0.027225000000000003</v>
      </c>
      <c r="T52" s="207">
        <f>SUM(T38:T51)*$W$25</f>
        <v>0.0050999999999999995</v>
      </c>
      <c r="U52" s="207">
        <f>SUM(U38:U51)*$W$25</f>
        <v>0.0050999999999999995</v>
      </c>
      <c r="V52" s="207">
        <f t="shared" si="15"/>
        <v>0.004950000000000001</v>
      </c>
      <c r="W52" s="207">
        <f t="shared" si="15"/>
        <v>0.004950000000000001</v>
      </c>
      <c r="X52" s="207">
        <f t="shared" si="15"/>
        <v>0.004950000000000001</v>
      </c>
      <c r="Y52" s="207">
        <f t="shared" si="15"/>
        <v>0.004950000000000001</v>
      </c>
      <c r="Z52" s="207">
        <f t="shared" si="15"/>
        <v>0.004950000000000001</v>
      </c>
      <c r="AA52" s="274">
        <f t="shared" si="15"/>
        <v>0.004950000000000001</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29" ht="15">
      <c r="I54" s="176">
        <f>SUM(I38:I44)+SUM(I46:I52)</f>
        <v>16.589448717600003</v>
      </c>
      <c r="J54" s="164">
        <f aca="true" t="shared" si="16" ref="J54:AA54">J22</f>
        <v>5</v>
      </c>
      <c r="K54" s="97">
        <f t="shared" si="16"/>
        <v>1.8</v>
      </c>
      <c r="L54" s="97">
        <f t="shared" si="16"/>
        <v>3.6</v>
      </c>
      <c r="M54" s="97">
        <f t="shared" si="16"/>
        <v>5</v>
      </c>
      <c r="N54" s="97">
        <f t="shared" si="16"/>
        <v>5</v>
      </c>
      <c r="O54" s="97">
        <f t="shared" si="16"/>
        <v>10</v>
      </c>
      <c r="P54" s="262">
        <f t="shared" si="16"/>
        <v>10</v>
      </c>
      <c r="Q54" s="164">
        <f t="shared" si="16"/>
        <v>5</v>
      </c>
      <c r="R54" s="97">
        <f t="shared" si="16"/>
        <v>10</v>
      </c>
      <c r="S54" s="97">
        <f t="shared" si="16"/>
        <v>10</v>
      </c>
      <c r="T54" s="97">
        <f t="shared" si="16"/>
        <v>225</v>
      </c>
      <c r="U54" s="97">
        <f t="shared" si="16"/>
        <v>225</v>
      </c>
      <c r="V54" s="97">
        <f t="shared" si="16"/>
        <v>30</v>
      </c>
      <c r="W54" s="97">
        <f t="shared" si="16"/>
        <v>30</v>
      </c>
      <c r="X54" s="97">
        <f t="shared" si="16"/>
        <v>30</v>
      </c>
      <c r="Y54" s="97">
        <f t="shared" si="16"/>
        <v>30</v>
      </c>
      <c r="Z54" s="97">
        <f t="shared" si="16"/>
        <v>30</v>
      </c>
      <c r="AA54" s="165">
        <f t="shared" si="16"/>
        <v>30</v>
      </c>
      <c r="AB54" s="150" t="s">
        <v>80</v>
      </c>
      <c r="AC54" s="99"/>
    </row>
    <row r="55" spans="9:29" ht="15">
      <c r="I55" s="177" t="s">
        <v>252</v>
      </c>
      <c r="J55" s="166">
        <f aca="true" t="shared" si="17" ref="J55:AA55">SUM(J38:J44)+SUM(J46:J51)</f>
        <v>0.0447</v>
      </c>
      <c r="K55" s="104">
        <f t="shared" si="17"/>
        <v>0.5946666666666667</v>
      </c>
      <c r="L55" s="104">
        <f t="shared" si="17"/>
        <v>0.6579240533333334</v>
      </c>
      <c r="M55" s="104">
        <f t="shared" si="17"/>
        <v>0.08785000000000001</v>
      </c>
      <c r="N55" s="104">
        <f t="shared" si="17"/>
        <v>0.1116</v>
      </c>
      <c r="O55" s="104">
        <f t="shared" si="17"/>
        <v>0.0694</v>
      </c>
      <c r="P55" s="116">
        <f t="shared" si="17"/>
        <v>0.048</v>
      </c>
      <c r="Q55" s="166">
        <f t="shared" si="17"/>
        <v>0.024</v>
      </c>
      <c r="R55" s="258">
        <f t="shared" si="17"/>
        <v>0.066</v>
      </c>
      <c r="S55" s="104">
        <f t="shared" si="17"/>
        <v>0.0495</v>
      </c>
      <c r="T55" s="104">
        <f t="shared" si="17"/>
        <v>0.0017</v>
      </c>
      <c r="U55" s="104">
        <f t="shared" si="17"/>
        <v>0.0017</v>
      </c>
      <c r="V55" s="104">
        <f t="shared" si="17"/>
        <v>0.009000000000000001</v>
      </c>
      <c r="W55" s="104">
        <f t="shared" si="17"/>
        <v>0.009000000000000001</v>
      </c>
      <c r="X55" s="104">
        <f t="shared" si="17"/>
        <v>0.009000000000000001</v>
      </c>
      <c r="Y55" s="104">
        <f t="shared" si="17"/>
        <v>0.009000000000000001</v>
      </c>
      <c r="Z55" s="104">
        <f t="shared" si="17"/>
        <v>0.009000000000000001</v>
      </c>
      <c r="AA55" s="167">
        <f t="shared" si="17"/>
        <v>0.009000000000000001</v>
      </c>
      <c r="AB55" s="150" t="s">
        <v>81</v>
      </c>
      <c r="AC55" s="99"/>
    </row>
    <row r="56" spans="9:29" ht="15.75" thickBot="1">
      <c r="I56" s="178"/>
      <c r="J56" s="168">
        <f aca="true" t="shared" si="18" ref="J56:AA56">J54*J55</f>
        <v>0.22349999999999998</v>
      </c>
      <c r="K56" s="181">
        <f t="shared" si="18"/>
        <v>1.0704</v>
      </c>
      <c r="L56" s="169">
        <f t="shared" si="18"/>
        <v>2.3685265920000003</v>
      </c>
      <c r="M56" s="169">
        <f t="shared" si="18"/>
        <v>0.43925000000000003</v>
      </c>
      <c r="N56" s="169">
        <f t="shared" si="18"/>
        <v>0.558</v>
      </c>
      <c r="O56" s="169">
        <f t="shared" si="18"/>
        <v>0.6940000000000001</v>
      </c>
      <c r="P56" s="263">
        <f t="shared" si="18"/>
        <v>0.48</v>
      </c>
      <c r="Q56" s="168">
        <f t="shared" si="18"/>
        <v>0.12</v>
      </c>
      <c r="R56" s="169">
        <f t="shared" si="18"/>
        <v>0.66</v>
      </c>
      <c r="S56" s="169">
        <f>S54*S55</f>
        <v>0.495</v>
      </c>
      <c r="T56" s="169">
        <f>T54*T55</f>
        <v>0.38249999999999995</v>
      </c>
      <c r="U56" s="169">
        <f t="shared" si="18"/>
        <v>0.38249999999999995</v>
      </c>
      <c r="V56" s="169">
        <f t="shared" si="18"/>
        <v>0.27</v>
      </c>
      <c r="W56" s="169">
        <f t="shared" si="18"/>
        <v>0.27</v>
      </c>
      <c r="X56" s="169">
        <f t="shared" si="18"/>
        <v>0.27</v>
      </c>
      <c r="Y56" s="169">
        <f t="shared" si="18"/>
        <v>0.27</v>
      </c>
      <c r="Z56" s="169">
        <f t="shared" si="18"/>
        <v>0.27</v>
      </c>
      <c r="AA56" s="170">
        <f t="shared" si="18"/>
        <v>0.27</v>
      </c>
      <c r="AB56" s="151" t="s">
        <v>4</v>
      </c>
      <c r="AC56" s="110"/>
    </row>
    <row r="58" ht="12.75">
      <c r="L58" s="139"/>
    </row>
  </sheetData>
  <mergeCells count="16">
    <mergeCell ref="D31:H31"/>
    <mergeCell ref="D27:H27"/>
    <mergeCell ref="D28:H28"/>
    <mergeCell ref="D29:H29"/>
    <mergeCell ref="D30:H30"/>
    <mergeCell ref="A3:A5"/>
    <mergeCell ref="E3:G4"/>
    <mergeCell ref="B3:D4"/>
    <mergeCell ref="J3:AC4"/>
    <mergeCell ref="I3:I4"/>
    <mergeCell ref="Q6:AA6"/>
    <mergeCell ref="Q38:AA38"/>
    <mergeCell ref="I35:I36"/>
    <mergeCell ref="J35:AC36"/>
    <mergeCell ref="J38:P38"/>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2.xml><?xml version="1.0" encoding="utf-8"?>
<worksheet xmlns="http://schemas.openxmlformats.org/spreadsheetml/2006/main" xmlns:r="http://schemas.openxmlformats.org/officeDocument/2006/relationships">
  <dimension ref="A1:P49"/>
  <sheetViews>
    <sheetView workbookViewId="0" topLeftCell="A1">
      <selection activeCell="E25" sqref="A5:E25"/>
    </sheetView>
  </sheetViews>
  <sheetFormatPr defaultColWidth="9.140625" defaultRowHeight="12.75"/>
  <cols>
    <col min="1" max="1" width="13.2812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3.5" thickBot="1">
      <c r="A4" s="1"/>
      <c r="B4" s="13"/>
      <c r="C4" s="13"/>
      <c r="D4" s="13"/>
      <c r="E4" s="13"/>
      <c r="F4" s="13"/>
      <c r="G4" s="16"/>
      <c r="H4" s="15"/>
    </row>
    <row r="5" spans="1:10" ht="51.75" thickBot="1">
      <c r="A5" s="402" t="s">
        <v>0</v>
      </c>
      <c r="B5" s="403" t="s">
        <v>17</v>
      </c>
      <c r="C5" s="404" t="s">
        <v>334</v>
      </c>
      <c r="D5" s="403" t="s">
        <v>132</v>
      </c>
      <c r="E5" s="405" t="s">
        <v>19</v>
      </c>
      <c r="F5" s="398" t="s">
        <v>20</v>
      </c>
      <c r="G5" s="16"/>
      <c r="H5" s="32"/>
      <c r="I5" s="8" t="s">
        <v>25</v>
      </c>
      <c r="J5" s="7"/>
    </row>
    <row r="6" spans="1:10" ht="12.75" hidden="1">
      <c r="A6" s="399" t="s">
        <v>5</v>
      </c>
      <c r="B6" s="400">
        <f>'Detail 2010-09-17'!E15</f>
        <v>1.9029999999999996</v>
      </c>
      <c r="C6" s="401">
        <f aca="true" t="shared" si="0" ref="C6:C13">(D6-B6)/B6</f>
        <v>-0.027850761954807936</v>
      </c>
      <c r="D6" s="400">
        <v>1.85</v>
      </c>
      <c r="E6" s="400"/>
      <c r="F6" s="347">
        <v>0</v>
      </c>
      <c r="G6" s="16"/>
      <c r="H6" s="28"/>
      <c r="I6" s="19" t="s">
        <v>368</v>
      </c>
      <c r="J6" s="13"/>
    </row>
    <row r="7" spans="1:10" ht="12.75" hidden="1">
      <c r="A7" s="346" t="s">
        <v>6</v>
      </c>
      <c r="B7" s="347">
        <f>'Detail 2010-09-17'!E14</f>
        <v>1.315536</v>
      </c>
      <c r="C7" s="348">
        <f t="shared" si="0"/>
        <v>0.38984223920896105</v>
      </c>
      <c r="D7" s="347">
        <v>1.8283874999999998</v>
      </c>
      <c r="E7" s="347"/>
      <c r="F7" s="347">
        <v>0</v>
      </c>
      <c r="G7" s="16"/>
      <c r="H7" s="28"/>
      <c r="I7" s="19" t="s">
        <v>364</v>
      </c>
      <c r="J7" s="13"/>
    </row>
    <row r="8" spans="1:10" ht="12.75" hidden="1">
      <c r="A8" s="346" t="s">
        <v>359</v>
      </c>
      <c r="B8" s="347">
        <f>'Detail 2010-09-17'!E18</f>
        <v>0.9405000000000002</v>
      </c>
      <c r="C8" s="348">
        <f t="shared" si="0"/>
        <v>1.2222222222222217</v>
      </c>
      <c r="D8" s="347">
        <v>2.09</v>
      </c>
      <c r="E8" s="347"/>
      <c r="F8" s="347">
        <v>0</v>
      </c>
      <c r="G8" s="16"/>
      <c r="H8" s="28"/>
      <c r="I8" s="19" t="s">
        <v>364</v>
      </c>
      <c r="J8" s="13"/>
    </row>
    <row r="9" spans="1:10" ht="12.75" hidden="1">
      <c r="A9" s="346" t="s">
        <v>378</v>
      </c>
      <c r="B9" s="347">
        <f>'Detail 2010-09-17'!I19+'Detail 2010-09-17'!E16</f>
        <v>3.9385621199999994</v>
      </c>
      <c r="C9" s="348">
        <f t="shared" si="0"/>
        <v>0.14082100017759844</v>
      </c>
      <c r="D9" s="347">
        <v>4.493194377000002</v>
      </c>
      <c r="E9" s="347"/>
      <c r="F9" s="347">
        <v>0</v>
      </c>
      <c r="G9" s="16"/>
      <c r="H9" s="28"/>
      <c r="I9" s="19" t="s">
        <v>365</v>
      </c>
      <c r="J9" s="13"/>
    </row>
    <row r="10" spans="1:10" ht="12.75" hidden="1">
      <c r="A10" s="346" t="s">
        <v>379</v>
      </c>
      <c r="B10" s="347">
        <f>'Detail 2010-09-17'!I20+'Detail 2010-09-17'!E16</f>
        <v>3.863464079999999</v>
      </c>
      <c r="C10" s="348">
        <f t="shared" si="0"/>
        <v>0.1629962862240466</v>
      </c>
      <c r="D10" s="347">
        <v>4.493194377000002</v>
      </c>
      <c r="E10" s="347"/>
      <c r="F10" s="347"/>
      <c r="G10" s="16"/>
      <c r="H10" s="28"/>
      <c r="I10" s="19"/>
      <c r="J10" s="13"/>
    </row>
    <row r="11" spans="1:10" ht="12.75" hidden="1">
      <c r="A11" s="346" t="s">
        <v>380</v>
      </c>
      <c r="B11" s="347">
        <f>'Detail 2010-09-17'!I21+'Detail 2010-09-17'!E16</f>
        <v>4.063725519999999</v>
      </c>
      <c r="C11" s="348">
        <f t="shared" si="0"/>
        <v>0.10568352977737594</v>
      </c>
      <c r="D11" s="347">
        <v>4.493194377000002</v>
      </c>
      <c r="E11" s="347"/>
      <c r="F11" s="347"/>
      <c r="G11" s="16"/>
      <c r="H11" s="28"/>
      <c r="I11" s="19"/>
      <c r="J11" s="13"/>
    </row>
    <row r="12" spans="1:10" ht="12.75" hidden="1">
      <c r="A12" s="346" t="s">
        <v>381</v>
      </c>
      <c r="B12" s="347">
        <f>'Detail 2010-09-17'!I22+'Detail 2010-09-17'!E16</f>
        <v>4.2639869599999995</v>
      </c>
      <c r="C12" s="348">
        <f t="shared" si="0"/>
        <v>0.05375424905145636</v>
      </c>
      <c r="D12" s="347">
        <v>4.493194377000002</v>
      </c>
      <c r="E12" s="347"/>
      <c r="F12" s="347"/>
      <c r="G12" s="16"/>
      <c r="H12" s="28"/>
      <c r="I12" s="19"/>
      <c r="J12" s="13"/>
    </row>
    <row r="13" spans="1:10" ht="12.75" hidden="1">
      <c r="A13" s="349" t="s">
        <v>31</v>
      </c>
      <c r="B13" s="350">
        <f>SUM(B6:B9)</f>
        <v>8.097598119999999</v>
      </c>
      <c r="C13" s="348">
        <f t="shared" si="0"/>
        <v>0.26723773209431667</v>
      </c>
      <c r="D13" s="350">
        <f>SUM(D6:D9)</f>
        <v>10.261581877000001</v>
      </c>
      <c r="E13" s="347">
        <f>'Detail 2009-04-03'!C28</f>
        <v>1.0533181818181818</v>
      </c>
      <c r="F13" s="350"/>
      <c r="G13" s="16"/>
      <c r="H13" s="28"/>
      <c r="I13" s="19"/>
      <c r="J13" s="13"/>
    </row>
    <row r="14" spans="1:10" ht="12.75" hidden="1">
      <c r="A14" s="349" t="s">
        <v>383</v>
      </c>
      <c r="B14" s="350">
        <f>SUM($B$6:$B$8)+B10</f>
        <v>8.022500079999999</v>
      </c>
      <c r="C14" s="348"/>
      <c r="D14" s="350"/>
      <c r="E14" s="347"/>
      <c r="F14" s="350"/>
      <c r="G14" s="16"/>
      <c r="H14" s="28"/>
      <c r="I14" s="19"/>
      <c r="J14" s="13"/>
    </row>
    <row r="15" spans="1:10" ht="12.75" hidden="1">
      <c r="A15" s="349" t="s">
        <v>384</v>
      </c>
      <c r="B15" s="350">
        <f>SUM($B$6:$B$8)+B11</f>
        <v>8.222761519999999</v>
      </c>
      <c r="C15" s="348"/>
      <c r="D15" s="350"/>
      <c r="E15" s="347"/>
      <c r="F15" s="350"/>
      <c r="G15" s="16"/>
      <c r="H15" s="28"/>
      <c r="I15" s="19"/>
      <c r="J15" s="13"/>
    </row>
    <row r="16" spans="1:10" ht="12.75" hidden="1">
      <c r="A16" s="349" t="s">
        <v>385</v>
      </c>
      <c r="B16" s="350">
        <f>SUM($B$6:$B$8)+B12</f>
        <v>8.423022959999999</v>
      </c>
      <c r="C16" s="348"/>
      <c r="D16" s="350"/>
      <c r="E16" s="347"/>
      <c r="F16" s="350"/>
      <c r="G16" s="16"/>
      <c r="H16" s="28"/>
      <c r="I16" s="19"/>
      <c r="J16" s="13"/>
    </row>
    <row r="17" spans="1:10" ht="12.75" hidden="1">
      <c r="A17" s="349" t="s">
        <v>22</v>
      </c>
      <c r="B17" s="347">
        <f>SUM('Detail 2010-04-08'!E7:E10)</f>
        <v>0.48</v>
      </c>
      <c r="C17" s="348">
        <f>(D17-B17)/B17</f>
        <v>0.25</v>
      </c>
      <c r="D17" s="347">
        <v>0.6</v>
      </c>
      <c r="E17" s="347">
        <v>2</v>
      </c>
      <c r="F17" s="347">
        <v>0</v>
      </c>
      <c r="G17" s="16"/>
      <c r="H17" s="28"/>
      <c r="I17" s="19" t="s">
        <v>366</v>
      </c>
      <c r="J17" s="13"/>
    </row>
    <row r="18" spans="1:10" ht="12.75" hidden="1">
      <c r="A18" s="385" t="s">
        <v>23</v>
      </c>
      <c r="B18" s="386">
        <f>SUM('Detail 2010-04-08'!E11:E12)</f>
        <v>0.24</v>
      </c>
      <c r="C18" s="387">
        <f>(D18-B18)/B18</f>
        <v>0.25</v>
      </c>
      <c r="D18" s="386">
        <v>0.3</v>
      </c>
      <c r="E18" s="386">
        <v>2.25</v>
      </c>
      <c r="F18" s="386">
        <v>0</v>
      </c>
      <c r="G18" s="16"/>
      <c r="H18" s="28"/>
      <c r="I18" s="19" t="s">
        <v>324</v>
      </c>
      <c r="J18" s="13"/>
    </row>
    <row r="19" spans="1:10" ht="12.75">
      <c r="A19" s="421" t="s">
        <v>36</v>
      </c>
      <c r="B19" s="407"/>
      <c r="C19" s="408"/>
      <c r="D19" s="409"/>
      <c r="E19" s="410"/>
      <c r="F19" s="396"/>
      <c r="G19" s="16"/>
      <c r="H19" s="28"/>
      <c r="I19" s="19"/>
      <c r="J19" s="13"/>
    </row>
    <row r="20" spans="1:16" ht="12.75">
      <c r="A20" s="422" t="s">
        <v>386</v>
      </c>
      <c r="B20" s="397">
        <f>0.34*28</f>
        <v>9.520000000000001</v>
      </c>
      <c r="C20" s="348">
        <f>(D20-B20)/B20</f>
        <v>0.1721879840240643</v>
      </c>
      <c r="D20" s="350">
        <v>11.159229607909094</v>
      </c>
      <c r="E20" s="411"/>
      <c r="F20" s="406"/>
      <c r="G20" s="16"/>
      <c r="H20" s="28"/>
      <c r="I20" s="15"/>
      <c r="J20" s="13"/>
      <c r="P20">
        <f>30*0.344</f>
        <v>10.319999999999999</v>
      </c>
    </row>
    <row r="21" spans="1:16" ht="12.75">
      <c r="A21" s="422" t="s">
        <v>387</v>
      </c>
      <c r="B21" s="397">
        <f>0.34*27</f>
        <v>9.180000000000001</v>
      </c>
      <c r="C21" s="348">
        <f>(D21-B21)/B21</f>
        <v>0.21560235380273332</v>
      </c>
      <c r="D21" s="350">
        <v>11.159229607909094</v>
      </c>
      <c r="E21" s="411"/>
      <c r="F21" s="406"/>
      <c r="G21" s="16"/>
      <c r="H21" s="28"/>
      <c r="I21" s="15"/>
      <c r="J21" s="13"/>
      <c r="P21">
        <f>11.16/30</f>
        <v>0.372</v>
      </c>
    </row>
    <row r="22" spans="1:10" ht="12.75">
      <c r="A22" s="422" t="s">
        <v>388</v>
      </c>
      <c r="B22" s="397">
        <f>0.34*30</f>
        <v>10.200000000000001</v>
      </c>
      <c r="C22" s="348">
        <f>(D22-B22)/B22</f>
        <v>0.09404211842246003</v>
      </c>
      <c r="D22" s="350">
        <v>11.159229607909094</v>
      </c>
      <c r="E22" s="411"/>
      <c r="F22" s="406"/>
      <c r="G22" s="16"/>
      <c r="H22" s="28"/>
      <c r="I22" s="15"/>
      <c r="J22" s="13"/>
    </row>
    <row r="23" spans="1:10" ht="13.5" thickBot="1">
      <c r="A23" s="423" t="s">
        <v>389</v>
      </c>
      <c r="B23" s="420">
        <f>0.34*33</f>
        <v>11.22</v>
      </c>
      <c r="C23" s="417">
        <f>(D23-B23)/B23</f>
        <v>-0.005416255979581734</v>
      </c>
      <c r="D23" s="419">
        <v>11.159229607909094</v>
      </c>
      <c r="E23" s="415"/>
      <c r="F23" s="406"/>
      <c r="G23" s="16"/>
      <c r="H23" s="28"/>
      <c r="I23" s="15"/>
      <c r="J23" s="13"/>
    </row>
    <row r="24" spans="1:8" ht="12.75">
      <c r="A24" s="412" t="s">
        <v>393</v>
      </c>
      <c r="B24" s="394"/>
      <c r="C24" s="394"/>
      <c r="D24" s="395"/>
      <c r="E24" s="416">
        <v>2</v>
      </c>
      <c r="F24" s="393"/>
      <c r="G24" s="16"/>
      <c r="H24" s="31"/>
    </row>
    <row r="25" spans="1:8" ht="13.5" thickBot="1">
      <c r="A25" s="413" t="s">
        <v>394</v>
      </c>
      <c r="B25" s="414"/>
      <c r="C25" s="414"/>
      <c r="D25" s="414"/>
      <c r="E25" s="415">
        <v>2.25</v>
      </c>
      <c r="F25" s="395"/>
      <c r="H25" s="31"/>
    </row>
    <row r="26" ht="12.75">
      <c r="A26" t="s">
        <v>35</v>
      </c>
    </row>
    <row r="27" ht="12.75">
      <c r="A27" t="s">
        <v>329</v>
      </c>
    </row>
    <row r="28" ht="12.75">
      <c r="A28" t="s">
        <v>360</v>
      </c>
    </row>
    <row r="29" ht="12.75">
      <c r="A29" t="s">
        <v>328</v>
      </c>
    </row>
    <row r="30" ht="12.75">
      <c r="A30" s="282" t="s">
        <v>269</v>
      </c>
    </row>
    <row r="31" ht="12.75">
      <c r="A31" s="282" t="s">
        <v>266</v>
      </c>
    </row>
    <row r="37" ht="12.75">
      <c r="A37" t="s">
        <v>391</v>
      </c>
    </row>
    <row r="38" ht="12.75">
      <c r="A38" t="s">
        <v>392</v>
      </c>
    </row>
    <row r="49" ht="12.75">
      <c r="D49" s="2"/>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0.xml><?xml version="1.0" encoding="utf-8"?>
<worksheet xmlns="http://schemas.openxmlformats.org/spreadsheetml/2006/main" xmlns:r="http://schemas.openxmlformats.org/officeDocument/2006/relationships">
  <dimension ref="A1:I22"/>
  <sheetViews>
    <sheetView workbookViewId="0" topLeftCell="A1">
      <selection activeCell="L10" sqref="L10"/>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2008-07-08'!E16</f>
        <v>1.0300000000000002</v>
      </c>
      <c r="C6" s="21">
        <f>B6*1.25</f>
        <v>1.2875000000000003</v>
      </c>
      <c r="D6" s="21"/>
      <c r="E6" s="21">
        <v>0</v>
      </c>
      <c r="F6" s="16"/>
      <c r="G6" s="28">
        <f aca="true" t="shared" si="0" ref="G6:G14">(C6-B6)/B6</f>
        <v>0.25</v>
      </c>
      <c r="H6" s="19" t="s">
        <v>28</v>
      </c>
      <c r="I6" s="13"/>
    </row>
    <row r="7" spans="1:9" ht="12.75">
      <c r="A7" s="22" t="s">
        <v>94</v>
      </c>
      <c r="B7" s="21">
        <f>'Detail 2008-07-08'!E15</f>
        <v>0.36000000000000004</v>
      </c>
      <c r="C7" s="21">
        <f>B7*1.25</f>
        <v>0.45000000000000007</v>
      </c>
      <c r="D7" s="21"/>
      <c r="E7" s="21">
        <v>0</v>
      </c>
      <c r="F7" s="16"/>
      <c r="G7" s="28">
        <f t="shared" si="0"/>
        <v>0.25000000000000006</v>
      </c>
      <c r="H7" s="19" t="s">
        <v>26</v>
      </c>
      <c r="I7" s="13"/>
    </row>
    <row r="8" spans="1:9" ht="12.75">
      <c r="A8" s="22" t="s">
        <v>6</v>
      </c>
      <c r="B8" s="21">
        <f>'Detail 2008-07-08'!E14</f>
        <v>1.52039</v>
      </c>
      <c r="C8" s="21">
        <f>B8*1.25</f>
        <v>1.9004874999999999</v>
      </c>
      <c r="D8" s="21"/>
      <c r="E8" s="21">
        <v>0</v>
      </c>
      <c r="F8" s="16"/>
      <c r="G8" s="28">
        <f t="shared" si="0"/>
        <v>0.25</v>
      </c>
      <c r="H8" s="123" t="s">
        <v>277</v>
      </c>
      <c r="I8" s="13"/>
    </row>
    <row r="9" spans="1:9" ht="12.75">
      <c r="A9" s="22" t="s">
        <v>7</v>
      </c>
      <c r="B9" s="21">
        <f>'Detail 2008-07-08'!E17+'Detail 2008-07-08'!E18+'Detail 2008-07-08'!E19</f>
        <v>1.6736726210909092</v>
      </c>
      <c r="C9" s="21">
        <f>B9*1.25</f>
        <v>2.0920907763636363</v>
      </c>
      <c r="D9" s="21"/>
      <c r="E9" s="21">
        <v>0</v>
      </c>
      <c r="F9" s="16"/>
      <c r="G9" s="28">
        <f t="shared" si="0"/>
        <v>0.24999999999999986</v>
      </c>
      <c r="H9" s="123" t="s">
        <v>256</v>
      </c>
      <c r="I9" s="13"/>
    </row>
    <row r="10" spans="1:9" ht="12.75">
      <c r="A10" s="22" t="s">
        <v>8</v>
      </c>
      <c r="B10" s="21">
        <f>'Detail 2008-07-08'!E20</f>
        <v>2.7852344415999997</v>
      </c>
      <c r="C10" s="21">
        <f>B10*1.25</f>
        <v>3.4815430519999997</v>
      </c>
      <c r="D10" s="21"/>
      <c r="E10" s="21">
        <v>0</v>
      </c>
      <c r="F10" s="16"/>
      <c r="G10" s="28">
        <f t="shared" si="0"/>
        <v>0.25000000000000006</v>
      </c>
      <c r="H10" s="19" t="s">
        <v>263</v>
      </c>
      <c r="I10" s="13"/>
    </row>
    <row r="11" spans="1:9" ht="12.75">
      <c r="A11" s="24" t="s">
        <v>31</v>
      </c>
      <c r="B11" s="25">
        <f>SUM(B6:B10)</f>
        <v>7.36929706269091</v>
      </c>
      <c r="C11" s="25">
        <f>SUM(C6:C10)</f>
        <v>9.211621328363636</v>
      </c>
      <c r="D11" s="21">
        <f>'Detail 2008-07-08'!C28</f>
        <v>0.7695751402045459</v>
      </c>
      <c r="E11" s="25"/>
      <c r="F11" s="16"/>
      <c r="G11" s="28">
        <f t="shared" si="0"/>
        <v>0.2499999999999998</v>
      </c>
      <c r="H11" s="19"/>
      <c r="I11" s="13"/>
    </row>
    <row r="12" spans="1:9" ht="12.75">
      <c r="A12" s="24" t="s">
        <v>22</v>
      </c>
      <c r="B12" s="21">
        <f>'Detail 2008-07-08'!E7+'Detail 2008-07-08'!E8+'Detail 2008-07-08'!E9+'Detail 2008-07-08'!E10</f>
        <v>0.32</v>
      </c>
      <c r="C12" s="21">
        <f>'2007-07-01'!C12</f>
        <v>0.4</v>
      </c>
      <c r="D12" s="21">
        <v>4</v>
      </c>
      <c r="E12" s="21">
        <v>0</v>
      </c>
      <c r="F12" s="16"/>
      <c r="G12" s="28">
        <f t="shared" si="0"/>
        <v>0.25000000000000006</v>
      </c>
      <c r="H12" s="19" t="s">
        <v>268</v>
      </c>
      <c r="I12" s="13"/>
    </row>
    <row r="13" spans="1:9" ht="13.5" thickBot="1">
      <c r="A13" s="24" t="s">
        <v>23</v>
      </c>
      <c r="B13" s="21">
        <f>'Detail 2008-07-08'!E11+'Detail 2008-07-08'!E12</f>
        <v>0.16</v>
      </c>
      <c r="C13" s="21">
        <f>'2007-07-01'!C13</f>
        <v>0.2</v>
      </c>
      <c r="D13" s="21">
        <v>4</v>
      </c>
      <c r="E13" s="21">
        <v>0</v>
      </c>
      <c r="F13" s="16"/>
      <c r="G13" s="28">
        <f t="shared" si="0"/>
        <v>0.25000000000000006</v>
      </c>
      <c r="H13" s="19" t="s">
        <v>268</v>
      </c>
      <c r="I13" s="13"/>
    </row>
    <row r="14" spans="1:9" ht="13.5" thickBot="1">
      <c r="A14" s="33" t="s">
        <v>2</v>
      </c>
      <c r="B14" s="34">
        <f>SUM(B11:B13)</f>
        <v>7.84929706269091</v>
      </c>
      <c r="C14" s="34">
        <f>SUM(C11:C13)</f>
        <v>9.811621328363636</v>
      </c>
      <c r="D14" s="23"/>
      <c r="E14" s="23"/>
      <c r="F14" s="16"/>
      <c r="G14" s="187">
        <f t="shared" si="0"/>
        <v>0.24999999999999972</v>
      </c>
      <c r="H14" s="15"/>
      <c r="I14" s="13"/>
    </row>
    <row r="15" spans="6:7" ht="13.5" thickTop="1">
      <c r="F15" s="16"/>
      <c r="G15" s="31"/>
    </row>
    <row r="16" spans="1:7" ht="12.75">
      <c r="A16" t="s">
        <v>275</v>
      </c>
      <c r="G16" s="31"/>
    </row>
    <row r="17" ht="12.75">
      <c r="A17" t="s">
        <v>35</v>
      </c>
    </row>
    <row r="18" ht="12.75">
      <c r="A18" t="s">
        <v>276</v>
      </c>
    </row>
    <row r="19" ht="12.75">
      <c r="A19" t="s">
        <v>257</v>
      </c>
    </row>
    <row r="20" ht="12.75">
      <c r="A20" s="282" t="s">
        <v>269</v>
      </c>
    </row>
    <row r="21" ht="12.75">
      <c r="A21" s="282" t="s">
        <v>266</v>
      </c>
    </row>
    <row r="22" ht="12.75">
      <c r="A22" t="s">
        <v>270</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1.xml><?xml version="1.0" encoding="utf-8"?>
<worksheet xmlns="http://schemas.openxmlformats.org/spreadsheetml/2006/main" xmlns:r="http://schemas.openxmlformats.org/officeDocument/2006/relationships">
  <dimension ref="A1:I22"/>
  <sheetViews>
    <sheetView workbookViewId="0" topLeftCell="A1">
      <selection activeCell="D13" sqref="D13"/>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2008-03-12'!E16</f>
        <v>1.0300000000000002</v>
      </c>
      <c r="C6" s="21">
        <f>B6*1.25</f>
        <v>1.2875000000000003</v>
      </c>
      <c r="D6" s="21"/>
      <c r="E6" s="21">
        <v>0</v>
      </c>
      <c r="F6" s="16"/>
      <c r="G6" s="28">
        <f aca="true" t="shared" si="0" ref="G6:G14">(C6-B6)/B6</f>
        <v>0.25</v>
      </c>
      <c r="H6" s="19" t="s">
        <v>28</v>
      </c>
      <c r="I6" s="13"/>
    </row>
    <row r="7" spans="1:9" ht="12.75">
      <c r="A7" s="22" t="s">
        <v>94</v>
      </c>
      <c r="B7" s="21">
        <f>'Detail 2008-03-12'!E15</f>
        <v>0.36000000000000004</v>
      </c>
      <c r="C7" s="21">
        <f>B7*1.25</f>
        <v>0.45000000000000007</v>
      </c>
      <c r="D7" s="21"/>
      <c r="E7" s="21">
        <v>0</v>
      </c>
      <c r="F7" s="16"/>
      <c r="G7" s="28">
        <f t="shared" si="0"/>
        <v>0.25000000000000006</v>
      </c>
      <c r="H7" s="19" t="s">
        <v>26</v>
      </c>
      <c r="I7" s="13"/>
    </row>
    <row r="8" spans="1:9" ht="12.75">
      <c r="A8" s="22" t="s">
        <v>6</v>
      </c>
      <c r="B8" s="21">
        <f>'Detail 2008-03-12'!E14</f>
        <v>1.53</v>
      </c>
      <c r="C8" s="21">
        <f>B8*1.25</f>
        <v>1.9125</v>
      </c>
      <c r="D8" s="21"/>
      <c r="E8" s="21">
        <v>0</v>
      </c>
      <c r="F8" s="16"/>
      <c r="G8" s="28">
        <f t="shared" si="0"/>
        <v>0.25000000000000006</v>
      </c>
      <c r="H8" s="123" t="s">
        <v>34</v>
      </c>
      <c r="I8" s="13"/>
    </row>
    <row r="9" spans="1:9" ht="12.75">
      <c r="A9" s="22" t="s">
        <v>7</v>
      </c>
      <c r="B9" s="21">
        <f>'Detail 2008-03-12'!E17+'Detail 2008-03-12'!E18+'Detail 2008-03-12'!E19</f>
        <v>1.6691226210909091</v>
      </c>
      <c r="C9" s="21">
        <f>B9*1.25</f>
        <v>2.0864032763636366</v>
      </c>
      <c r="D9" s="21"/>
      <c r="E9" s="21">
        <v>0</v>
      </c>
      <c r="F9" s="16"/>
      <c r="G9" s="28">
        <f t="shared" si="0"/>
        <v>0.2500000000000001</v>
      </c>
      <c r="H9" s="35" t="s">
        <v>256</v>
      </c>
      <c r="I9" s="13"/>
    </row>
    <row r="10" spans="1:9" ht="12.75">
      <c r="A10" s="22" t="s">
        <v>8</v>
      </c>
      <c r="B10" s="21">
        <f>'Detail 2008-03-12'!E20</f>
        <v>2.7880174415999996</v>
      </c>
      <c r="C10" s="21">
        <f>B10*1.25</f>
        <v>3.4850218019999994</v>
      </c>
      <c r="D10" s="21"/>
      <c r="E10" s="21">
        <v>0</v>
      </c>
      <c r="F10" s="16"/>
      <c r="G10" s="28">
        <f t="shared" si="0"/>
        <v>0.24999999999999997</v>
      </c>
      <c r="H10" s="19" t="s">
        <v>263</v>
      </c>
      <c r="I10" s="13"/>
    </row>
    <row r="11" spans="1:9" ht="12.75">
      <c r="A11" s="24" t="s">
        <v>31</v>
      </c>
      <c r="B11" s="25">
        <f>SUM(B6:B10)</f>
        <v>7.377140062690909</v>
      </c>
      <c r="C11" s="25">
        <f>SUM(C6:C10)</f>
        <v>9.221425078363637</v>
      </c>
      <c r="D11" s="21">
        <f>'Detail 2008-03-12'!C28</f>
        <v>0.7553253318433568</v>
      </c>
      <c r="E11" s="25"/>
      <c r="F11" s="16"/>
      <c r="G11" s="28">
        <f t="shared" si="0"/>
        <v>0.2500000000000001</v>
      </c>
      <c r="H11" s="19"/>
      <c r="I11" s="13"/>
    </row>
    <row r="12" spans="1:9" ht="12.75">
      <c r="A12" s="24" t="s">
        <v>22</v>
      </c>
      <c r="B12" s="21">
        <f>'Detail 2008-03-12'!E7+'Detail 2008-03-12'!E8+'Detail 2008-03-12'!E9+'Detail 2008-03-12'!E10</f>
        <v>0.32</v>
      </c>
      <c r="C12" s="21">
        <f>'2007-07-01'!C12</f>
        <v>0.4</v>
      </c>
      <c r="D12" s="21">
        <v>4</v>
      </c>
      <c r="E12" s="21">
        <v>0</v>
      </c>
      <c r="F12" s="16"/>
      <c r="G12" s="28">
        <f t="shared" si="0"/>
        <v>0.25000000000000006</v>
      </c>
      <c r="H12" s="19" t="s">
        <v>268</v>
      </c>
      <c r="I12" s="13"/>
    </row>
    <row r="13" spans="1:9" ht="13.5" thickBot="1">
      <c r="A13" s="24" t="s">
        <v>23</v>
      </c>
      <c r="B13" s="21">
        <f>'Detail 2008-03-12'!E11+'Detail 2008-03-12'!E12</f>
        <v>0.16</v>
      </c>
      <c r="C13" s="21">
        <f>'2007-07-01'!C13</f>
        <v>0.2</v>
      </c>
      <c r="D13" s="21">
        <v>4</v>
      </c>
      <c r="E13" s="21">
        <v>0</v>
      </c>
      <c r="F13" s="16"/>
      <c r="G13" s="28">
        <f t="shared" si="0"/>
        <v>0.25000000000000006</v>
      </c>
      <c r="H13" s="19" t="s">
        <v>268</v>
      </c>
      <c r="I13" s="13"/>
    </row>
    <row r="14" spans="1:9" ht="13.5" thickBot="1">
      <c r="A14" s="33" t="s">
        <v>2</v>
      </c>
      <c r="B14" s="34">
        <f>SUM(B11:B13)</f>
        <v>7.85714006269091</v>
      </c>
      <c r="C14" s="34">
        <f>SUM(C11:C13)</f>
        <v>9.821425078363637</v>
      </c>
      <c r="D14" s="23"/>
      <c r="E14" s="23"/>
      <c r="F14" s="16"/>
      <c r="G14" s="187">
        <f t="shared" si="0"/>
        <v>0.25</v>
      </c>
      <c r="H14" s="15"/>
      <c r="I14" s="13"/>
    </row>
    <row r="15" spans="6:7" ht="13.5" thickTop="1">
      <c r="F15" s="16"/>
      <c r="G15" s="31"/>
    </row>
    <row r="16" spans="1:7" ht="12.75">
      <c r="A16" t="s">
        <v>267</v>
      </c>
      <c r="G16" s="31"/>
    </row>
    <row r="17" ht="12.75">
      <c r="A17" t="s">
        <v>35</v>
      </c>
    </row>
    <row r="18" ht="12.75">
      <c r="A18" t="s">
        <v>133</v>
      </c>
    </row>
    <row r="19" ht="12.75">
      <c r="A19" t="s">
        <v>257</v>
      </c>
    </row>
    <row r="20" ht="12.75">
      <c r="A20" s="282" t="s">
        <v>269</v>
      </c>
    </row>
    <row r="21" ht="12.75">
      <c r="A21" s="282" t="s">
        <v>266</v>
      </c>
    </row>
    <row r="22" ht="12.75">
      <c r="A22" t="s">
        <v>270</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2.xml><?xml version="1.0" encoding="utf-8"?>
<worksheet xmlns="http://schemas.openxmlformats.org/spreadsheetml/2006/main" xmlns:r="http://schemas.openxmlformats.org/officeDocument/2006/relationships">
  <dimension ref="A1:I21"/>
  <sheetViews>
    <sheetView workbookViewId="0" topLeftCell="A1">
      <selection activeCell="M7" sqref="M7"/>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2008-03-12'!E16</f>
        <v>1.0300000000000002</v>
      </c>
      <c r="C6" s="21">
        <f>'2007-07-01'!C6</f>
        <v>1.1321750000000002</v>
      </c>
      <c r="D6" s="21"/>
      <c r="E6" s="21">
        <v>0</v>
      </c>
      <c r="F6" s="16"/>
      <c r="G6" s="28">
        <f aca="true" t="shared" si="0" ref="G6:G14">(C6-B6)/B6</f>
        <v>0.09919902912621348</v>
      </c>
      <c r="H6" s="19" t="s">
        <v>28</v>
      </c>
      <c r="I6" s="13"/>
    </row>
    <row r="7" spans="1:9" ht="12.75">
      <c r="A7" s="22" t="s">
        <v>94</v>
      </c>
      <c r="B7" s="21">
        <f>'Detail 2008-03-12'!E15</f>
        <v>0.36000000000000004</v>
      </c>
      <c r="C7" s="21">
        <f>'2007-07-01'!C7</f>
        <v>0.45000000000000007</v>
      </c>
      <c r="D7" s="21"/>
      <c r="E7" s="21">
        <v>0</v>
      </c>
      <c r="F7" s="16"/>
      <c r="G7" s="28">
        <f t="shared" si="0"/>
        <v>0.25000000000000006</v>
      </c>
      <c r="H7" s="19" t="s">
        <v>26</v>
      </c>
      <c r="I7" s="13"/>
    </row>
    <row r="8" spans="1:9" ht="12.75">
      <c r="A8" s="22" t="s">
        <v>6</v>
      </c>
      <c r="B8" s="21">
        <f>'Detail 2008-03-12'!E14</f>
        <v>1.53</v>
      </c>
      <c r="C8" s="21">
        <f>'2007-07-01'!C8</f>
        <v>1.8020499999999997</v>
      </c>
      <c r="D8" s="21"/>
      <c r="E8" s="21">
        <v>0</v>
      </c>
      <c r="F8" s="16"/>
      <c r="G8" s="28">
        <f t="shared" si="0"/>
        <v>0.17781045751633967</v>
      </c>
      <c r="H8" s="123" t="s">
        <v>34</v>
      </c>
      <c r="I8" s="13"/>
    </row>
    <row r="9" spans="1:9" ht="12.75">
      <c r="A9" s="22" t="s">
        <v>7</v>
      </c>
      <c r="B9" s="21">
        <f>'Detail 2008-03-12'!E17+'Detail 2008-03-12'!E18+'Detail 2008-03-12'!E19</f>
        <v>1.6691226210909091</v>
      </c>
      <c r="C9" s="21">
        <f>'2007-07-01'!C9-0.5</f>
        <v>1.9460416666666664</v>
      </c>
      <c r="D9" s="21"/>
      <c r="E9" s="21">
        <v>0</v>
      </c>
      <c r="F9" s="16"/>
      <c r="G9" s="28">
        <f t="shared" si="0"/>
        <v>0.16590695139867428</v>
      </c>
      <c r="H9" s="35" t="s">
        <v>256</v>
      </c>
      <c r="I9" s="13"/>
    </row>
    <row r="10" spans="1:9" ht="12.75">
      <c r="A10" s="22" t="s">
        <v>8</v>
      </c>
      <c r="B10" s="21">
        <f>'Detail 2008-03-12'!E20</f>
        <v>2.7880174415999996</v>
      </c>
      <c r="C10" s="21">
        <f>'2007-07-01'!C10+0.5</f>
        <v>3.287944999999998</v>
      </c>
      <c r="D10" s="21"/>
      <c r="E10" s="21">
        <v>0</v>
      </c>
      <c r="F10" s="16"/>
      <c r="G10" s="28">
        <f t="shared" si="0"/>
        <v>0.1793129235637413</v>
      </c>
      <c r="H10" s="19" t="s">
        <v>263</v>
      </c>
      <c r="I10" s="13"/>
    </row>
    <row r="11" spans="1:9" ht="12.75">
      <c r="A11" s="24" t="s">
        <v>31</v>
      </c>
      <c r="B11" s="25">
        <f>SUM(B6:B10)</f>
        <v>7.377140062690909</v>
      </c>
      <c r="C11" s="25">
        <f>SUM(C6:C10)</f>
        <v>8.618211666666664</v>
      </c>
      <c r="D11" s="21">
        <f>'Detail 2008-03-12'!C28</f>
        <v>0.7553253318433568</v>
      </c>
      <c r="E11" s="25"/>
      <c r="F11" s="16"/>
      <c r="G11" s="28">
        <f t="shared" si="0"/>
        <v>0.16823207820769737</v>
      </c>
      <c r="H11" s="19"/>
      <c r="I11" s="13"/>
    </row>
    <row r="12" spans="1:9" ht="12.75">
      <c r="A12" s="24" t="s">
        <v>22</v>
      </c>
      <c r="B12" s="21">
        <f>'Detail 2008-03-12'!E7+'Detail 2008-03-12'!E8+'Detail 2008-03-12'!E9+'Detail 2008-03-12'!E10</f>
        <v>0.32</v>
      </c>
      <c r="C12" s="21">
        <f>'2007-07-01'!C12</f>
        <v>0.4</v>
      </c>
      <c r="D12" s="21">
        <v>4</v>
      </c>
      <c r="E12" s="21">
        <v>0</v>
      </c>
      <c r="F12" s="16"/>
      <c r="G12" s="28">
        <f t="shared" si="0"/>
        <v>0.25000000000000006</v>
      </c>
      <c r="H12" s="19" t="s">
        <v>268</v>
      </c>
      <c r="I12" s="13"/>
    </row>
    <row r="13" spans="1:9" ht="13.5" thickBot="1">
      <c r="A13" s="24" t="s">
        <v>23</v>
      </c>
      <c r="B13" s="21">
        <f>'Detail 2008-03-12'!E11+'Detail 2008-03-12'!E12</f>
        <v>0.16</v>
      </c>
      <c r="C13" s="21">
        <f>'2007-07-01'!C13</f>
        <v>0.2</v>
      </c>
      <c r="D13" s="21">
        <v>4</v>
      </c>
      <c r="E13" s="21">
        <v>0</v>
      </c>
      <c r="F13" s="16"/>
      <c r="G13" s="28">
        <f t="shared" si="0"/>
        <v>0.25000000000000006</v>
      </c>
      <c r="H13" s="19" t="s">
        <v>268</v>
      </c>
      <c r="I13" s="13"/>
    </row>
    <row r="14" spans="1:9" ht="13.5" thickBot="1">
      <c r="A14" s="33" t="s">
        <v>2</v>
      </c>
      <c r="B14" s="34">
        <f>SUM(B11:B13)</f>
        <v>7.85714006269091</v>
      </c>
      <c r="C14" s="34">
        <f>SUM(C11:C13)</f>
        <v>9.218211666666663</v>
      </c>
      <c r="D14" s="23"/>
      <c r="E14" s="23"/>
      <c r="F14" s="16"/>
      <c r="G14" s="187">
        <f t="shared" si="0"/>
        <v>0.17322735666107175</v>
      </c>
      <c r="H14" s="15"/>
      <c r="I14" s="13"/>
    </row>
    <row r="15" spans="6:7" ht="13.5" thickTop="1">
      <c r="F15" s="16"/>
      <c r="G15" s="31"/>
    </row>
    <row r="16" spans="1:7" ht="12.75">
      <c r="A16" t="s">
        <v>267</v>
      </c>
      <c r="G16" s="31"/>
    </row>
    <row r="17" ht="12.75">
      <c r="A17" t="s">
        <v>35</v>
      </c>
    </row>
    <row r="18" ht="12.75">
      <c r="A18" t="s">
        <v>133</v>
      </c>
    </row>
    <row r="19" ht="12.75">
      <c r="A19" t="s">
        <v>257</v>
      </c>
    </row>
    <row r="20" ht="12.75">
      <c r="A20" s="282" t="s">
        <v>269</v>
      </c>
    </row>
    <row r="21" ht="12.75">
      <c r="A21"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3.xml><?xml version="1.0" encoding="utf-8"?>
<worksheet xmlns="http://schemas.openxmlformats.org/spreadsheetml/2006/main" xmlns:r="http://schemas.openxmlformats.org/officeDocument/2006/relationships">
  <dimension ref="A1:I21"/>
  <sheetViews>
    <sheetView workbookViewId="0" topLeftCell="A1">
      <selection activeCell="L14" sqref="L14"/>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2008-02-14 LR'!E16</f>
        <v>1.0300000000000002</v>
      </c>
      <c r="C6" s="21">
        <f>'2007-07-01'!C6</f>
        <v>1.1321750000000002</v>
      </c>
      <c r="D6" s="21"/>
      <c r="E6" s="21">
        <v>0</v>
      </c>
      <c r="F6" s="16"/>
      <c r="G6" s="28">
        <f aca="true" t="shared" si="0" ref="G6:G14">(C6-B6)/B6</f>
        <v>0.09919902912621348</v>
      </c>
      <c r="H6" s="19" t="s">
        <v>28</v>
      </c>
      <c r="I6" s="13"/>
    </row>
    <row r="7" spans="1:9" ht="12.75">
      <c r="A7" s="22" t="s">
        <v>94</v>
      </c>
      <c r="B7" s="21">
        <f>'Detail 2008-02-14 LR'!E15</f>
        <v>0.36000000000000004</v>
      </c>
      <c r="C7" s="21">
        <f>'2007-07-01'!C7</f>
        <v>0.45000000000000007</v>
      </c>
      <c r="D7" s="21"/>
      <c r="E7" s="21">
        <v>0</v>
      </c>
      <c r="F7" s="16"/>
      <c r="G7" s="28">
        <f t="shared" si="0"/>
        <v>0.25000000000000006</v>
      </c>
      <c r="H7" s="19" t="s">
        <v>26</v>
      </c>
      <c r="I7" s="13"/>
    </row>
    <row r="8" spans="1:9" ht="12.75">
      <c r="A8" s="22" t="s">
        <v>6</v>
      </c>
      <c r="B8" s="21">
        <f>'Detail 2008-02-14 LR'!E14</f>
        <v>1.517</v>
      </c>
      <c r="C8" s="21">
        <f>'2007-07-01'!C8</f>
        <v>1.8020499999999997</v>
      </c>
      <c r="D8" s="21"/>
      <c r="E8" s="21">
        <v>0</v>
      </c>
      <c r="F8" s="16"/>
      <c r="G8" s="28">
        <f t="shared" si="0"/>
        <v>0.18790375741595242</v>
      </c>
      <c r="H8" s="123" t="s">
        <v>34</v>
      </c>
      <c r="I8" s="13"/>
    </row>
    <row r="9" spans="1:9" ht="12.75">
      <c r="A9" s="22" t="s">
        <v>7</v>
      </c>
      <c r="B9" s="21">
        <f>'Detail 2008-02-14 LR'!E17+'Detail 2008-02-14 LR'!E18+'Detail 2008-02-14 LR'!E19</f>
        <v>1.5974207360000001</v>
      </c>
      <c r="C9" s="21">
        <f>'2007-07-01'!C9-0.5</f>
        <v>1.9460416666666664</v>
      </c>
      <c r="D9" s="21"/>
      <c r="E9" s="21">
        <v>0</v>
      </c>
      <c r="F9" s="16"/>
      <c r="G9" s="28">
        <f t="shared" si="0"/>
        <v>0.21823989310394573</v>
      </c>
      <c r="H9" s="35" t="s">
        <v>256</v>
      </c>
      <c r="I9" s="13"/>
    </row>
    <row r="10" spans="1:9" ht="12.75">
      <c r="A10" s="22" t="s">
        <v>8</v>
      </c>
      <c r="B10" s="21">
        <f>'Detail 2008-02-14 LR'!E20</f>
        <v>2.7414314047999997</v>
      </c>
      <c r="C10" s="21">
        <f>'2007-07-01'!C10+0.5</f>
        <v>3.287944999999998</v>
      </c>
      <c r="D10" s="21"/>
      <c r="E10" s="21">
        <v>0</v>
      </c>
      <c r="F10" s="16"/>
      <c r="G10" s="28">
        <f t="shared" si="0"/>
        <v>0.1993533721993197</v>
      </c>
      <c r="H10" s="19" t="s">
        <v>263</v>
      </c>
      <c r="I10" s="13"/>
    </row>
    <row r="11" spans="1:9" ht="12.75">
      <c r="A11" s="24" t="s">
        <v>31</v>
      </c>
      <c r="B11" s="25">
        <f>SUM(B6:B10)</f>
        <v>7.2458521408</v>
      </c>
      <c r="C11" s="25">
        <f>SUM(C6:C10)</f>
        <v>8.618211666666664</v>
      </c>
      <c r="D11" s="21">
        <f>'Detail 2008-02-14 LR'!C28</f>
        <v>0.7394453118386235</v>
      </c>
      <c r="E11" s="25"/>
      <c r="F11" s="16"/>
      <c r="G11" s="28">
        <f t="shared" si="0"/>
        <v>0.18939932794642203</v>
      </c>
      <c r="H11" s="19"/>
      <c r="I11" s="13"/>
    </row>
    <row r="12" spans="1:9" ht="12.75">
      <c r="A12" s="24" t="s">
        <v>22</v>
      </c>
      <c r="B12" s="21">
        <f>'Detail 2008-02-14 LR'!E7+'Detail 2008-02-14 LR'!E8+'Detail 2008-02-14 LR'!E9+'Detail 2008-02-14 LR'!E10</f>
        <v>0.32</v>
      </c>
      <c r="C12" s="21">
        <f>'2007-07-01'!C12</f>
        <v>0.4</v>
      </c>
      <c r="D12" s="21">
        <v>2</v>
      </c>
      <c r="E12" s="21">
        <v>0</v>
      </c>
      <c r="F12" s="16"/>
      <c r="G12" s="28">
        <f t="shared" si="0"/>
        <v>0.25000000000000006</v>
      </c>
      <c r="H12" s="19" t="s">
        <v>84</v>
      </c>
      <c r="I12" s="13"/>
    </row>
    <row r="13" spans="1:9" ht="13.5" thickBot="1">
      <c r="A13" s="24" t="s">
        <v>23</v>
      </c>
      <c r="B13" s="21">
        <f>'Detail 2008-02-14 LR'!E11+'Detail 2008-02-14 LR'!E12</f>
        <v>0.16</v>
      </c>
      <c r="C13" s="21">
        <f>'2007-07-01'!C13</f>
        <v>0.2</v>
      </c>
      <c r="D13" s="21">
        <v>2</v>
      </c>
      <c r="E13" s="21">
        <v>0</v>
      </c>
      <c r="F13" s="16"/>
      <c r="G13" s="28">
        <f t="shared" si="0"/>
        <v>0.25000000000000006</v>
      </c>
      <c r="H13" s="19" t="s">
        <v>84</v>
      </c>
      <c r="I13" s="13"/>
    </row>
    <row r="14" spans="1:9" ht="13.5" thickBot="1">
      <c r="A14" s="33" t="s">
        <v>2</v>
      </c>
      <c r="B14" s="34">
        <f>SUM(B11:B13)</f>
        <v>7.725852140800001</v>
      </c>
      <c r="C14" s="34">
        <f>SUM(C11:C13)</f>
        <v>9.218211666666663</v>
      </c>
      <c r="D14" s="23"/>
      <c r="E14" s="23"/>
      <c r="F14" s="16"/>
      <c r="G14" s="187">
        <f t="shared" si="0"/>
        <v>0.193164391276084</v>
      </c>
      <c r="H14" s="15"/>
      <c r="I14" s="13"/>
    </row>
    <row r="15" spans="6:7" ht="13.5" thickTop="1">
      <c r="F15" s="16"/>
      <c r="G15" s="31"/>
    </row>
    <row r="16" spans="1:7" ht="12.75">
      <c r="A16" t="s">
        <v>260</v>
      </c>
      <c r="G16" s="31"/>
    </row>
    <row r="17" ht="12.75">
      <c r="A17" t="s">
        <v>35</v>
      </c>
    </row>
    <row r="18" ht="12.75">
      <c r="A18" t="s">
        <v>133</v>
      </c>
    </row>
    <row r="19" ht="12.75">
      <c r="A19" t="s">
        <v>257</v>
      </c>
    </row>
    <row r="20" ht="12.75">
      <c r="A20" s="282" t="s">
        <v>265</v>
      </c>
    </row>
    <row r="21" ht="12.75">
      <c r="A21" s="282" t="s">
        <v>266</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4.xml><?xml version="1.0" encoding="utf-8"?>
<worksheet xmlns="http://schemas.openxmlformats.org/spreadsheetml/2006/main" xmlns:r="http://schemas.openxmlformats.org/officeDocument/2006/relationships">
  <dimension ref="A1:I18"/>
  <sheetViews>
    <sheetView workbookViewId="0" topLeftCell="A1">
      <selection activeCell="D10" sqref="D10"/>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132</v>
      </c>
      <c r="D5" s="26" t="s">
        <v>19</v>
      </c>
      <c r="E5" s="26" t="s">
        <v>20</v>
      </c>
      <c r="F5" s="16"/>
      <c r="G5" s="32" t="s">
        <v>93</v>
      </c>
      <c r="H5" s="8" t="s">
        <v>25</v>
      </c>
      <c r="I5" s="7"/>
    </row>
    <row r="6" spans="1:9" ht="12.75">
      <c r="A6" s="22" t="s">
        <v>5</v>
      </c>
      <c r="B6" s="21">
        <f>'Detail 2008-01-28 LR'!E16</f>
        <v>1.0379000000000003</v>
      </c>
      <c r="C6" s="21">
        <f>'2007-07-01'!C6</f>
        <v>1.1321750000000002</v>
      </c>
      <c r="D6" s="21" t="s">
        <v>87</v>
      </c>
      <c r="E6" s="21">
        <v>0</v>
      </c>
      <c r="F6" s="16"/>
      <c r="G6" s="28">
        <f aca="true" t="shared" si="0" ref="G6:G14">(C6-B6)/B6</f>
        <v>0.09083245013970505</v>
      </c>
      <c r="H6" s="19" t="s">
        <v>28</v>
      </c>
      <c r="I6" s="13"/>
    </row>
    <row r="7" spans="1:9" ht="12.75">
      <c r="A7" s="22" t="s">
        <v>94</v>
      </c>
      <c r="B7" s="21">
        <f>'Detail 2008-01-28 LR'!E15</f>
        <v>0.36000000000000004</v>
      </c>
      <c r="C7" s="21">
        <f>'2007-07-01'!C7</f>
        <v>0.45000000000000007</v>
      </c>
      <c r="D7" s="21" t="s">
        <v>87</v>
      </c>
      <c r="E7" s="21">
        <v>0</v>
      </c>
      <c r="F7" s="16"/>
      <c r="G7" s="28">
        <f t="shared" si="0"/>
        <v>0.25000000000000006</v>
      </c>
      <c r="H7" s="19" t="s">
        <v>26</v>
      </c>
      <c r="I7" s="13"/>
    </row>
    <row r="8" spans="1:9" ht="12.75">
      <c r="A8" s="22" t="s">
        <v>6</v>
      </c>
      <c r="B8" s="21">
        <f>'Detail 2008-01-28 LR'!E14</f>
        <v>1.517</v>
      </c>
      <c r="C8" s="21">
        <f>'2007-07-01'!C8</f>
        <v>1.8020499999999997</v>
      </c>
      <c r="D8" s="21" t="s">
        <v>87</v>
      </c>
      <c r="E8" s="21">
        <v>0</v>
      </c>
      <c r="F8" s="16"/>
      <c r="G8" s="28">
        <f t="shared" si="0"/>
        <v>0.18790375741595242</v>
      </c>
      <c r="H8" s="123" t="s">
        <v>34</v>
      </c>
      <c r="I8" s="13"/>
    </row>
    <row r="9" spans="1:9" ht="12.75">
      <c r="A9" s="22" t="s">
        <v>7</v>
      </c>
      <c r="B9" s="21">
        <f>'Detail 2008-01-28 LR'!E17+'Detail 2008-01-28 LR'!E18+'Detail 2008-01-28 LR'!E19</f>
        <v>2.0181999999999998</v>
      </c>
      <c r="C9" s="21">
        <f>'2007-07-01'!C9</f>
        <v>2.4460416666666664</v>
      </c>
      <c r="D9" s="21" t="s">
        <v>87</v>
      </c>
      <c r="E9" s="21">
        <v>0</v>
      </c>
      <c r="F9" s="16"/>
      <c r="G9" s="28">
        <f t="shared" si="0"/>
        <v>0.21199170878340437</v>
      </c>
      <c r="H9" s="35" t="s">
        <v>122</v>
      </c>
      <c r="I9" s="13"/>
    </row>
    <row r="10" spans="1:9" ht="12.75">
      <c r="A10" s="22" t="s">
        <v>8</v>
      </c>
      <c r="B10" s="21">
        <f>'Detail 2008-01-28 LR'!E20</f>
        <v>2.435894999999999</v>
      </c>
      <c r="C10" s="21">
        <f>'2007-07-01'!C10</f>
        <v>2.787944999999998</v>
      </c>
      <c r="D10" s="21">
        <f>'Detail 2008-01-28 LR'!C28</f>
        <v>0.421064284090909</v>
      </c>
      <c r="E10" s="21">
        <v>0</v>
      </c>
      <c r="F10" s="16"/>
      <c r="G10" s="28">
        <f t="shared" si="0"/>
        <v>0.1445259339996178</v>
      </c>
      <c r="H10" s="19" t="s">
        <v>124</v>
      </c>
      <c r="I10" s="13"/>
    </row>
    <row r="11" spans="1:9" ht="12.75">
      <c r="A11" s="24" t="s">
        <v>31</v>
      </c>
      <c r="B11" s="25">
        <f>SUM(B6:B10)</f>
        <v>7.368994999999998</v>
      </c>
      <c r="C11" s="25">
        <f>SUM(C6:C10)</f>
        <v>8.618211666666664</v>
      </c>
      <c r="D11" s="25"/>
      <c r="E11" s="25"/>
      <c r="F11" s="16"/>
      <c r="G11" s="28">
        <f t="shared" si="0"/>
        <v>0.16952334296151184</v>
      </c>
      <c r="H11" s="19"/>
      <c r="I11" s="13"/>
    </row>
    <row r="12" spans="1:9" ht="12.75">
      <c r="A12" s="24" t="s">
        <v>22</v>
      </c>
      <c r="B12" s="21">
        <f>'Detail 2008-01-28 LR'!E7+'Detail 2008-01-28 LR'!E8+'Detail 2008-01-28 LR'!E9+'Detail 2008-01-28 LR'!E10</f>
        <v>0.32</v>
      </c>
      <c r="C12" s="21">
        <f>'2007-07-01'!C12</f>
        <v>0.4</v>
      </c>
      <c r="D12" s="21">
        <v>2</v>
      </c>
      <c r="E12" s="21">
        <v>0</v>
      </c>
      <c r="F12" s="16"/>
      <c r="G12" s="28">
        <f t="shared" si="0"/>
        <v>0.25000000000000006</v>
      </c>
      <c r="H12" s="19" t="s">
        <v>84</v>
      </c>
      <c r="I12" s="13"/>
    </row>
    <row r="13" spans="1:9" ht="13.5" thickBot="1">
      <c r="A13" s="24" t="s">
        <v>23</v>
      </c>
      <c r="B13" s="21">
        <f>'Detail 2008-01-28 LR'!E11+'Detail 2008-01-28 LR'!E12</f>
        <v>0.16</v>
      </c>
      <c r="C13" s="21">
        <f>'2007-07-01'!C13</f>
        <v>0.2</v>
      </c>
      <c r="D13" s="21">
        <v>2</v>
      </c>
      <c r="E13" s="21">
        <v>0</v>
      </c>
      <c r="F13" s="16"/>
      <c r="G13" s="28">
        <f t="shared" si="0"/>
        <v>0.25000000000000006</v>
      </c>
      <c r="H13" s="19" t="s">
        <v>84</v>
      </c>
      <c r="I13" s="13"/>
    </row>
    <row r="14" spans="1:9" ht="13.5" thickBot="1">
      <c r="A14" s="33" t="s">
        <v>2</v>
      </c>
      <c r="B14" s="34">
        <f>SUM(B11:B13)</f>
        <v>7.848994999999999</v>
      </c>
      <c r="C14" s="34">
        <f>SUM(C11:C13)</f>
        <v>9.218211666666663</v>
      </c>
      <c r="D14" s="23"/>
      <c r="E14" s="23"/>
      <c r="F14" s="16"/>
      <c r="G14" s="187">
        <f t="shared" si="0"/>
        <v>0.17444483869166244</v>
      </c>
      <c r="H14" s="15"/>
      <c r="I14" s="13"/>
    </row>
    <row r="15" spans="6:7" ht="13.5" thickTop="1">
      <c r="F15" s="16"/>
      <c r="G15" s="31"/>
    </row>
    <row r="16" spans="1:7" ht="12.75">
      <c r="A16" t="s">
        <v>123</v>
      </c>
      <c r="G16" s="31"/>
    </row>
    <row r="17" ht="12.75">
      <c r="A17" t="s">
        <v>35</v>
      </c>
    </row>
    <row r="18" ht="12.75">
      <c r="A18" t="s">
        <v>133</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5.xml><?xml version="1.0" encoding="utf-8"?>
<worksheet xmlns="http://schemas.openxmlformats.org/spreadsheetml/2006/main" xmlns:r="http://schemas.openxmlformats.org/officeDocument/2006/relationships">
  <dimension ref="A1:I17"/>
  <sheetViews>
    <sheetView workbookViewId="0" topLeftCell="A4">
      <selection activeCell="D26" sqref="D26"/>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18</v>
      </c>
      <c r="D5" s="26" t="s">
        <v>19</v>
      </c>
      <c r="E5" s="26" t="s">
        <v>20</v>
      </c>
      <c r="F5" s="16"/>
      <c r="G5" s="32" t="s">
        <v>93</v>
      </c>
      <c r="H5" s="8" t="s">
        <v>25</v>
      </c>
      <c r="I5" s="7"/>
    </row>
    <row r="6" spans="1:9" ht="12.75">
      <c r="A6" s="22" t="s">
        <v>5</v>
      </c>
      <c r="B6" s="21">
        <f>Detail!E16</f>
        <v>0.9845000000000003</v>
      </c>
      <c r="C6" s="21">
        <f>Detail!G16</f>
        <v>1.1321750000000002</v>
      </c>
      <c r="D6" s="21" t="s">
        <v>87</v>
      </c>
      <c r="E6" s="21">
        <v>0</v>
      </c>
      <c r="F6" s="16"/>
      <c r="G6" s="28">
        <f aca="true" t="shared" si="0" ref="G6:G14">(C6-B6)/B6</f>
        <v>0.14999999999999986</v>
      </c>
      <c r="H6" s="19" t="s">
        <v>28</v>
      </c>
      <c r="I6" s="13"/>
    </row>
    <row r="7" spans="1:9" ht="12.75">
      <c r="A7" s="22" t="s">
        <v>94</v>
      </c>
      <c r="B7" s="21">
        <f>Detail!E15</f>
        <v>0.36000000000000004</v>
      </c>
      <c r="C7" s="21">
        <f>Detail!G15</f>
        <v>0.45000000000000007</v>
      </c>
      <c r="D7" s="21" t="s">
        <v>87</v>
      </c>
      <c r="E7" s="21">
        <v>0</v>
      </c>
      <c r="F7" s="16"/>
      <c r="G7" s="28">
        <f t="shared" si="0"/>
        <v>0.25000000000000006</v>
      </c>
      <c r="H7" s="19" t="s">
        <v>26</v>
      </c>
      <c r="I7" s="13"/>
    </row>
    <row r="8" spans="1:9" ht="12.75">
      <c r="A8" s="22" t="s">
        <v>6</v>
      </c>
      <c r="B8" s="21">
        <f>Detail!E14</f>
        <v>1.567</v>
      </c>
      <c r="C8" s="21">
        <f>Detail!G14</f>
        <v>1.8020499999999997</v>
      </c>
      <c r="D8" s="21" t="s">
        <v>87</v>
      </c>
      <c r="E8" s="21">
        <v>0</v>
      </c>
      <c r="F8" s="16"/>
      <c r="G8" s="28">
        <f t="shared" si="0"/>
        <v>0.14999999999999986</v>
      </c>
      <c r="H8" s="123" t="s">
        <v>34</v>
      </c>
      <c r="I8" s="13"/>
    </row>
    <row r="9" spans="1:9" ht="12.75">
      <c r="A9" s="22" t="s">
        <v>7</v>
      </c>
      <c r="B9" s="21">
        <f>Detail!E17+Detail!E18+Detail!E19</f>
        <v>1.9958333333333331</v>
      </c>
      <c r="C9" s="21">
        <f>Detail!G17+Detail!G18+Detail!G19</f>
        <v>2.4460416666666664</v>
      </c>
      <c r="D9" s="21" t="s">
        <v>87</v>
      </c>
      <c r="E9" s="21">
        <v>0</v>
      </c>
      <c r="F9" s="16"/>
      <c r="G9" s="28">
        <f t="shared" si="0"/>
        <v>0.22557411273486433</v>
      </c>
      <c r="H9" s="35" t="s">
        <v>95</v>
      </c>
      <c r="I9" s="13"/>
    </row>
    <row r="10" spans="1:9" ht="12.75">
      <c r="A10" s="22" t="s">
        <v>8</v>
      </c>
      <c r="B10" s="21">
        <f>Detail!E20</f>
        <v>2.4242999999999983</v>
      </c>
      <c r="C10" s="21">
        <f>Detail!G20</f>
        <v>2.787944999999998</v>
      </c>
      <c r="D10" s="21">
        <f>Detail!C28</f>
        <v>0.41900962121212104</v>
      </c>
      <c r="E10" s="21">
        <v>0</v>
      </c>
      <c r="F10" s="16"/>
      <c r="G10" s="28">
        <f t="shared" si="0"/>
        <v>0.1499999999999999</v>
      </c>
      <c r="H10" s="19" t="s">
        <v>27</v>
      </c>
      <c r="I10" s="13"/>
    </row>
    <row r="11" spans="1:9" ht="12.75">
      <c r="A11" s="24" t="s">
        <v>31</v>
      </c>
      <c r="B11" s="25">
        <f>SUM(B6:B10)</f>
        <v>7.331633333333333</v>
      </c>
      <c r="C11" s="25">
        <f>SUM(C6:C10)</f>
        <v>8.618211666666664</v>
      </c>
      <c r="D11" s="25"/>
      <c r="E11" s="25"/>
      <c r="F11" s="16"/>
      <c r="G11" s="28">
        <f t="shared" si="0"/>
        <v>0.17548318019177145</v>
      </c>
      <c r="H11" s="19"/>
      <c r="I11" s="13"/>
    </row>
    <row r="12" spans="1:9" ht="12.75">
      <c r="A12" s="24" t="s">
        <v>22</v>
      </c>
      <c r="B12" s="21">
        <f>Detail!E7+Detail!E8+Detail!E9+Detail!E10</f>
        <v>0.32</v>
      </c>
      <c r="C12" s="21">
        <f>Detail!G7+Detail!G8+Detail!G9+Detail!G10</f>
        <v>0.4</v>
      </c>
      <c r="D12" s="21">
        <v>2</v>
      </c>
      <c r="E12" s="21">
        <v>0</v>
      </c>
      <c r="F12" s="16"/>
      <c r="G12" s="28">
        <f t="shared" si="0"/>
        <v>0.25000000000000006</v>
      </c>
      <c r="H12" s="19" t="s">
        <v>84</v>
      </c>
      <c r="I12" s="13"/>
    </row>
    <row r="13" spans="1:9" ht="12.75">
      <c r="A13" s="24" t="s">
        <v>23</v>
      </c>
      <c r="B13" s="21">
        <f>Detail!E11+Detail!E12</f>
        <v>0.16</v>
      </c>
      <c r="C13" s="21">
        <f>Detail!G11+Detail!G12</f>
        <v>0.2</v>
      </c>
      <c r="D13" s="21">
        <v>2</v>
      </c>
      <c r="E13" s="21">
        <v>0</v>
      </c>
      <c r="F13" s="16"/>
      <c r="G13" s="28">
        <f t="shared" si="0"/>
        <v>0.25000000000000006</v>
      </c>
      <c r="H13" s="19" t="s">
        <v>84</v>
      </c>
      <c r="I13" s="13"/>
    </row>
    <row r="14" spans="1:9" ht="13.5" thickBot="1">
      <c r="A14" s="33" t="s">
        <v>2</v>
      </c>
      <c r="B14" s="34">
        <f>SUM(B11:B13)</f>
        <v>7.811633333333333</v>
      </c>
      <c r="C14" s="34">
        <f>SUM(C11:C13)</f>
        <v>9.218211666666663</v>
      </c>
      <c r="D14" s="23"/>
      <c r="E14" s="23"/>
      <c r="F14" s="16"/>
      <c r="G14" s="28">
        <f t="shared" si="0"/>
        <v>0.1800620015447043</v>
      </c>
      <c r="H14" s="15"/>
      <c r="I14" s="13"/>
    </row>
    <row r="15" spans="6:7" ht="13.5" thickTop="1">
      <c r="F15" s="16"/>
      <c r="G15" s="31"/>
    </row>
    <row r="16" spans="1:7" ht="12.75">
      <c r="A16" t="s">
        <v>92</v>
      </c>
      <c r="G16" s="31"/>
    </row>
    <row r="17" ht="12.75">
      <c r="A17" t="s">
        <v>35</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6.xml><?xml version="1.0" encoding="utf-8"?>
<worksheet xmlns="http://schemas.openxmlformats.org/spreadsheetml/2006/main" xmlns:r="http://schemas.openxmlformats.org/officeDocument/2006/relationships">
  <dimension ref="A1:I17"/>
  <sheetViews>
    <sheetView workbookViewId="0" topLeftCell="A7">
      <selection activeCell="C14" sqref="C14"/>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7" ht="12.75">
      <c r="A3" s="1" t="s">
        <v>4</v>
      </c>
      <c r="B3" s="13"/>
      <c r="C3" s="13"/>
      <c r="D3" s="13"/>
      <c r="E3" s="13"/>
      <c r="F3" s="16"/>
      <c r="G3" s="15"/>
    </row>
    <row r="4" spans="1:7" ht="12.75">
      <c r="A4" s="1"/>
      <c r="B4" s="13"/>
      <c r="C4" s="13"/>
      <c r="D4" s="13"/>
      <c r="E4" s="13"/>
      <c r="F4" s="16"/>
      <c r="G4" s="15"/>
    </row>
    <row r="5" spans="1:9" ht="51">
      <c r="A5" s="27" t="s">
        <v>0</v>
      </c>
      <c r="B5" s="26" t="s">
        <v>17</v>
      </c>
      <c r="C5" s="26" t="s">
        <v>18</v>
      </c>
      <c r="D5" s="26" t="s">
        <v>19</v>
      </c>
      <c r="E5" s="26" t="s">
        <v>20</v>
      </c>
      <c r="F5" s="16"/>
      <c r="G5" s="32" t="s">
        <v>93</v>
      </c>
      <c r="H5" s="8" t="s">
        <v>25</v>
      </c>
      <c r="I5" s="7"/>
    </row>
    <row r="6" spans="1:9" ht="12.75">
      <c r="A6" s="22" t="s">
        <v>5</v>
      </c>
      <c r="B6" s="21">
        <f>Detail!E16</f>
        <v>0.9845000000000003</v>
      </c>
      <c r="C6" s="21">
        <f>Detail!G16</f>
        <v>1.1321750000000002</v>
      </c>
      <c r="D6" s="21" t="s">
        <v>87</v>
      </c>
      <c r="E6" s="21">
        <v>0</v>
      </c>
      <c r="F6" s="16"/>
      <c r="G6" s="28">
        <f>(C6-B6)/B6</f>
        <v>0.14999999999999986</v>
      </c>
      <c r="H6" s="19" t="s">
        <v>28</v>
      </c>
      <c r="I6" s="13"/>
    </row>
    <row r="7" spans="1:9" ht="12.75">
      <c r="A7" s="22" t="s">
        <v>94</v>
      </c>
      <c r="B7" s="21">
        <f>Detail!E15</f>
        <v>0.36000000000000004</v>
      </c>
      <c r="C7" s="21">
        <f>Detail!G15</f>
        <v>0.45000000000000007</v>
      </c>
      <c r="D7" s="21" t="s">
        <v>87</v>
      </c>
      <c r="E7" s="21">
        <v>0</v>
      </c>
      <c r="F7" s="16"/>
      <c r="G7" s="28">
        <f aca="true" t="shared" si="0" ref="G7:G14">(C7-B7)/B7</f>
        <v>0.25000000000000006</v>
      </c>
      <c r="H7" s="19" t="s">
        <v>26</v>
      </c>
      <c r="I7" s="13"/>
    </row>
    <row r="8" spans="1:9" ht="12.75">
      <c r="A8" s="22" t="s">
        <v>6</v>
      </c>
      <c r="B8" s="21">
        <f>Detail!E14</f>
        <v>1.567</v>
      </c>
      <c r="C8" s="21">
        <f>Detail!G14</f>
        <v>1.8020499999999997</v>
      </c>
      <c r="D8" s="21" t="s">
        <v>87</v>
      </c>
      <c r="E8" s="21">
        <v>0</v>
      </c>
      <c r="F8" s="16"/>
      <c r="G8" s="28">
        <f t="shared" si="0"/>
        <v>0.14999999999999986</v>
      </c>
      <c r="H8" s="35" t="s">
        <v>34</v>
      </c>
      <c r="I8" s="13"/>
    </row>
    <row r="9" spans="1:9" ht="12.75">
      <c r="A9" s="22" t="s">
        <v>7</v>
      </c>
      <c r="B9" s="21">
        <f>Detail!E17+Detail!E18+Detail!E19</f>
        <v>1.9958333333333331</v>
      </c>
      <c r="C9" s="21">
        <f>Detail!G17+Detail!G18+Detail!G19</f>
        <v>2.4460416666666664</v>
      </c>
      <c r="D9" s="21" t="s">
        <v>87</v>
      </c>
      <c r="E9" s="21">
        <v>0</v>
      </c>
      <c r="F9" s="16"/>
      <c r="G9" s="28">
        <f t="shared" si="0"/>
        <v>0.22557411273486433</v>
      </c>
      <c r="H9" s="19" t="s">
        <v>12</v>
      </c>
      <c r="I9" s="13"/>
    </row>
    <row r="10" spans="1:9" ht="12.75">
      <c r="A10" s="22" t="s">
        <v>8</v>
      </c>
      <c r="B10" s="21">
        <f>Detail!E20</f>
        <v>2.4242999999999983</v>
      </c>
      <c r="C10" s="21">
        <f>Detail!G20</f>
        <v>2.787944999999998</v>
      </c>
      <c r="D10" s="21" t="s">
        <v>32</v>
      </c>
      <c r="E10" s="21">
        <v>0</v>
      </c>
      <c r="F10" s="16"/>
      <c r="G10" s="28">
        <f t="shared" si="0"/>
        <v>0.1499999999999999</v>
      </c>
      <c r="H10" s="19" t="s">
        <v>27</v>
      </c>
      <c r="I10" s="13"/>
    </row>
    <row r="11" spans="1:9" ht="12.75">
      <c r="A11" s="24" t="s">
        <v>31</v>
      </c>
      <c r="B11" s="25">
        <f>SUM(B6:B10)</f>
        <v>7.331633333333333</v>
      </c>
      <c r="C11" s="25">
        <f>SUM(C6:C10)</f>
        <v>8.618211666666664</v>
      </c>
      <c r="D11" s="25"/>
      <c r="E11" s="25"/>
      <c r="F11" s="16"/>
      <c r="G11" s="28">
        <f t="shared" si="0"/>
        <v>0.17548318019177145</v>
      </c>
      <c r="H11" s="19"/>
      <c r="I11" s="13"/>
    </row>
    <row r="12" spans="1:9" ht="12.75">
      <c r="A12" s="24" t="s">
        <v>22</v>
      </c>
      <c r="B12" s="21">
        <f>Detail!E7+Detail!E8+Detail!E9+Detail!E10</f>
        <v>0.32</v>
      </c>
      <c r="C12" s="21">
        <f>Detail!G7+Detail!G8+Detail!G9+Detail!G10</f>
        <v>0.4</v>
      </c>
      <c r="D12" s="21">
        <v>2</v>
      </c>
      <c r="E12" s="21">
        <v>0</v>
      </c>
      <c r="F12" s="16"/>
      <c r="G12" s="28">
        <f t="shared" si="0"/>
        <v>0.25000000000000006</v>
      </c>
      <c r="H12" s="19" t="s">
        <v>84</v>
      </c>
      <c r="I12" s="13"/>
    </row>
    <row r="13" spans="1:9" ht="12.75">
      <c r="A13" s="24" t="s">
        <v>23</v>
      </c>
      <c r="B13" s="21">
        <f>Detail!E11+Detail!E12</f>
        <v>0.16</v>
      </c>
      <c r="C13" s="21">
        <f>Detail!G11+Detail!G12</f>
        <v>0.2</v>
      </c>
      <c r="D13" s="21">
        <v>2</v>
      </c>
      <c r="E13" s="21">
        <v>0</v>
      </c>
      <c r="F13" s="16"/>
      <c r="G13" s="28">
        <f t="shared" si="0"/>
        <v>0.25000000000000006</v>
      </c>
      <c r="H13" s="19" t="s">
        <v>84</v>
      </c>
      <c r="I13" s="13"/>
    </row>
    <row r="14" spans="1:9" ht="13.5" thickBot="1">
      <c r="A14" s="33" t="s">
        <v>2</v>
      </c>
      <c r="B14" s="34">
        <f>SUM(B11:B13)</f>
        <v>7.811633333333333</v>
      </c>
      <c r="C14" s="34">
        <f>SUM(C11:C13)</f>
        <v>9.218211666666663</v>
      </c>
      <c r="D14" s="23"/>
      <c r="E14" s="23"/>
      <c r="F14" s="16"/>
      <c r="G14" s="28">
        <f t="shared" si="0"/>
        <v>0.1800620015447043</v>
      </c>
      <c r="H14" s="15"/>
      <c r="I14" s="13"/>
    </row>
    <row r="15" spans="6:7" ht="13.5" thickTop="1">
      <c r="F15" s="16"/>
      <c r="G15" s="31"/>
    </row>
    <row r="16" spans="1:7" ht="12.75">
      <c r="A16" t="s">
        <v>92</v>
      </c>
      <c r="G16" s="31"/>
    </row>
    <row r="17" ht="12.75">
      <c r="A17" t="s">
        <v>35</v>
      </c>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7.xml><?xml version="1.0" encoding="utf-8"?>
<worksheet xmlns="http://schemas.openxmlformats.org/spreadsheetml/2006/main" xmlns:r="http://schemas.openxmlformats.org/officeDocument/2006/relationships">
  <dimension ref="A1:K16"/>
  <sheetViews>
    <sheetView workbookViewId="0" topLeftCell="A1">
      <selection activeCell="H10" sqref="H10"/>
    </sheetView>
  </sheetViews>
  <sheetFormatPr defaultColWidth="9.140625" defaultRowHeight="12.75"/>
  <cols>
    <col min="1" max="1" width="11.421875" style="0" customWidth="1"/>
    <col min="2" max="5" width="10.140625" style="0" customWidth="1"/>
    <col min="6" max="6" width="10.28125" style="0" customWidth="1"/>
  </cols>
  <sheetData>
    <row r="1" spans="1:6" s="18" customFormat="1" ht="18">
      <c r="A1" s="18" t="s">
        <v>15</v>
      </c>
      <c r="F1" s="18" t="s">
        <v>16</v>
      </c>
    </row>
    <row r="3" spans="1:9" ht="12.75">
      <c r="A3" s="1" t="s">
        <v>4</v>
      </c>
      <c r="B3" s="13"/>
      <c r="C3" s="13"/>
      <c r="D3" s="13"/>
      <c r="E3" s="13"/>
      <c r="F3" s="16"/>
      <c r="G3" s="13"/>
      <c r="H3" s="15"/>
      <c r="I3" s="13"/>
    </row>
    <row r="4" spans="1:9" ht="12.75">
      <c r="A4" s="1"/>
      <c r="B4" s="13"/>
      <c r="C4" s="13"/>
      <c r="D4" s="13"/>
      <c r="E4" s="13"/>
      <c r="F4" s="16"/>
      <c r="G4" s="13"/>
      <c r="H4" s="15"/>
      <c r="I4" s="13"/>
    </row>
    <row r="5" spans="1:11" ht="51">
      <c r="A5" s="27" t="s">
        <v>0</v>
      </c>
      <c r="B5" s="26" t="s">
        <v>17</v>
      </c>
      <c r="C5" s="26" t="s">
        <v>18</v>
      </c>
      <c r="D5" s="26" t="s">
        <v>19</v>
      </c>
      <c r="E5" s="26" t="s">
        <v>20</v>
      </c>
      <c r="F5" s="16"/>
      <c r="G5" s="13"/>
      <c r="H5" s="32" t="s">
        <v>21</v>
      </c>
      <c r="I5" s="13"/>
      <c r="J5" s="8" t="s">
        <v>25</v>
      </c>
      <c r="K5" s="7"/>
    </row>
    <row r="6" spans="1:11" ht="12.75">
      <c r="A6" s="22" t="s">
        <v>5</v>
      </c>
      <c r="B6" s="21">
        <v>1</v>
      </c>
      <c r="C6" s="21">
        <f>B6*(1+H6)</f>
        <v>1.25</v>
      </c>
      <c r="D6" s="21" t="s">
        <v>32</v>
      </c>
      <c r="E6" s="21" t="s">
        <v>29</v>
      </c>
      <c r="F6" s="16"/>
      <c r="G6" s="13"/>
      <c r="H6" s="28">
        <v>0.25</v>
      </c>
      <c r="J6" s="19" t="s">
        <v>28</v>
      </c>
      <c r="K6" s="13"/>
    </row>
    <row r="7" spans="1:11" ht="12.75">
      <c r="A7" s="22" t="s">
        <v>30</v>
      </c>
      <c r="B7" s="21">
        <v>0.33</v>
      </c>
      <c r="C7" s="21">
        <f>B7*(1+H7)</f>
        <v>0.41250000000000003</v>
      </c>
      <c r="D7" s="21" t="s">
        <v>32</v>
      </c>
      <c r="E7" s="21" t="s">
        <v>29</v>
      </c>
      <c r="F7" s="16"/>
      <c r="G7" s="13"/>
      <c r="H7" s="28">
        <v>0.25</v>
      </c>
      <c r="J7" s="19" t="s">
        <v>26</v>
      </c>
      <c r="K7" s="13"/>
    </row>
    <row r="8" spans="1:11" ht="12.75">
      <c r="A8" s="22" t="s">
        <v>6</v>
      </c>
      <c r="B8" s="21">
        <f>1.175+0.32</f>
        <v>1.495</v>
      </c>
      <c r="C8" s="21">
        <f>B8*(1+H8)</f>
        <v>1.8687500000000001</v>
      </c>
      <c r="D8" s="21" t="s">
        <v>32</v>
      </c>
      <c r="E8" s="21" t="s">
        <v>29</v>
      </c>
      <c r="F8" s="16"/>
      <c r="G8" s="13"/>
      <c r="H8" s="28">
        <v>0.25</v>
      </c>
      <c r="J8" s="19" t="s">
        <v>24</v>
      </c>
      <c r="K8" s="13"/>
    </row>
    <row r="9" spans="1:11" ht="12.75">
      <c r="A9" s="22" t="s">
        <v>7</v>
      </c>
      <c r="B9" s="21">
        <f>1.72+0.88</f>
        <v>2.6</v>
      </c>
      <c r="C9" s="21">
        <f>B9*(1+H9)</f>
        <v>3.25</v>
      </c>
      <c r="D9" s="21" t="s">
        <v>32</v>
      </c>
      <c r="E9" s="21" t="s">
        <v>29</v>
      </c>
      <c r="F9" s="16"/>
      <c r="G9" s="13"/>
      <c r="H9" s="28">
        <v>0.25</v>
      </c>
      <c r="J9" s="19" t="s">
        <v>12</v>
      </c>
      <c r="K9" s="13"/>
    </row>
    <row r="10" spans="1:11" ht="12.75">
      <c r="A10" s="22" t="s">
        <v>8</v>
      </c>
      <c r="B10" s="21">
        <f>SUM(B6:B9)*(1/I10-1)</f>
        <v>2.672014925373134</v>
      </c>
      <c r="C10" s="21">
        <f>B10*(1+H10)</f>
        <v>3.3400186567164174</v>
      </c>
      <c r="D10" s="21" t="s">
        <v>32</v>
      </c>
      <c r="E10" s="21" t="s">
        <v>29</v>
      </c>
      <c r="F10" s="16"/>
      <c r="G10" s="13"/>
      <c r="H10" s="28">
        <v>0.25</v>
      </c>
      <c r="I10" s="15">
        <v>0.67</v>
      </c>
      <c r="J10" s="19" t="s">
        <v>27</v>
      </c>
      <c r="K10" s="13"/>
    </row>
    <row r="11" spans="1:11" ht="12.75">
      <c r="A11" s="24" t="s">
        <v>31</v>
      </c>
      <c r="B11" s="25">
        <f>SUM(B6:B10)</f>
        <v>8.097014925373134</v>
      </c>
      <c r="C11" s="25">
        <f>SUM(C6:C10)</f>
        <v>10.121268656716417</v>
      </c>
      <c r="D11" s="25"/>
      <c r="E11" s="25"/>
      <c r="F11" s="16"/>
      <c r="G11" s="13"/>
      <c r="H11" s="29"/>
      <c r="I11" s="15"/>
      <c r="J11" s="19"/>
      <c r="K11" s="13"/>
    </row>
    <row r="12" spans="1:11" ht="12.75">
      <c r="A12" s="20" t="s">
        <v>22</v>
      </c>
      <c r="B12" s="21" t="s">
        <v>32</v>
      </c>
      <c r="C12" s="21" t="s">
        <v>32</v>
      </c>
      <c r="D12" s="21"/>
      <c r="E12" s="21" t="s">
        <v>29</v>
      </c>
      <c r="F12" s="16"/>
      <c r="G12" s="13"/>
      <c r="H12" s="28"/>
      <c r="J12" s="15"/>
      <c r="K12" s="13"/>
    </row>
    <row r="13" spans="1:11" ht="12.75">
      <c r="A13" s="20" t="s">
        <v>23</v>
      </c>
      <c r="B13" s="21" t="s">
        <v>32</v>
      </c>
      <c r="C13" s="21" t="s">
        <v>32</v>
      </c>
      <c r="D13" s="21"/>
      <c r="E13" s="21" t="s">
        <v>29</v>
      </c>
      <c r="F13" s="16"/>
      <c r="G13" s="13"/>
      <c r="H13" s="28"/>
      <c r="J13" s="15"/>
      <c r="K13" s="13"/>
    </row>
    <row r="14" spans="1:11" ht="13.5" thickBot="1">
      <c r="A14" s="33" t="s">
        <v>2</v>
      </c>
      <c r="B14" s="34">
        <f>SUM(B6:B10)</f>
        <v>8.097014925373134</v>
      </c>
      <c r="C14" s="34">
        <f>SUM(C6:C10)</f>
        <v>10.121268656716417</v>
      </c>
      <c r="D14" s="23"/>
      <c r="E14" s="23"/>
      <c r="F14" s="16"/>
      <c r="G14" s="13"/>
      <c r="H14" s="30"/>
      <c r="J14" s="15"/>
      <c r="K14" s="13"/>
    </row>
    <row r="15" spans="6:8" ht="13.5" thickTop="1">
      <c r="F15" s="16"/>
      <c r="G15" s="13"/>
      <c r="H15" s="31"/>
    </row>
    <row r="16" ht="12.75">
      <c r="H16" s="31"/>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8.xml><?xml version="1.0" encoding="utf-8"?>
<worksheet xmlns="http://schemas.openxmlformats.org/spreadsheetml/2006/main" xmlns:r="http://schemas.openxmlformats.org/officeDocument/2006/relationships">
  <dimension ref="A1:F16"/>
  <sheetViews>
    <sheetView workbookViewId="0" topLeftCell="A1">
      <selection activeCell="H10" sqref="H10"/>
    </sheetView>
  </sheetViews>
  <sheetFormatPr defaultColWidth="9.140625" defaultRowHeight="12.75"/>
  <cols>
    <col min="1" max="1" width="18.140625" style="0" customWidth="1"/>
    <col min="2" max="2" width="11.7109375" style="13" customWidth="1"/>
    <col min="3" max="3" width="12.7109375" style="16" customWidth="1"/>
    <col min="4" max="4" width="12.421875" style="13" customWidth="1"/>
    <col min="5" max="5" width="12.28125" style="15" customWidth="1"/>
    <col min="6" max="6" width="12.421875" style="13" customWidth="1"/>
  </cols>
  <sheetData>
    <row r="1" ht="12.75">
      <c r="A1" s="1" t="s">
        <v>3</v>
      </c>
    </row>
    <row r="2" ht="12.75">
      <c r="A2" s="6">
        <v>39197</v>
      </c>
    </row>
    <row r="3" ht="12.75">
      <c r="A3" s="6"/>
    </row>
    <row r="4" ht="12.75">
      <c r="A4" s="1" t="s">
        <v>4</v>
      </c>
    </row>
    <row r="5" ht="12.75">
      <c r="A5" s="1"/>
    </row>
    <row r="6" spans="1:6" ht="38.25">
      <c r="A6" s="9" t="s">
        <v>0</v>
      </c>
      <c r="B6" s="3" t="s">
        <v>9</v>
      </c>
      <c r="C6" s="5" t="s">
        <v>1</v>
      </c>
      <c r="D6" s="3" t="s">
        <v>10</v>
      </c>
      <c r="E6" s="8"/>
      <c r="F6" s="7"/>
    </row>
    <row r="7" spans="1:4" ht="12.75">
      <c r="A7" t="s">
        <v>5</v>
      </c>
      <c r="B7" s="13">
        <v>1</v>
      </c>
      <c r="C7" s="15">
        <v>0.25</v>
      </c>
      <c r="D7" s="13">
        <f aca="true" t="shared" si="0" ref="D7:D12">B7*(1+C7)</f>
        <v>1.25</v>
      </c>
    </row>
    <row r="8" spans="1:4" ht="12.75">
      <c r="A8" t="s">
        <v>33</v>
      </c>
      <c r="B8" s="13">
        <v>0.33</v>
      </c>
      <c r="C8" s="15">
        <v>0.3</v>
      </c>
      <c r="D8" s="13">
        <f t="shared" si="0"/>
        <v>0.42900000000000005</v>
      </c>
    </row>
    <row r="9" spans="1:5" ht="12.75">
      <c r="A9" t="s">
        <v>6</v>
      </c>
      <c r="B9" s="13">
        <v>1.175</v>
      </c>
      <c r="C9" s="15">
        <v>0.25</v>
      </c>
      <c r="D9" s="13">
        <f t="shared" si="0"/>
        <v>1.46875</v>
      </c>
      <c r="E9" s="15" t="s">
        <v>13</v>
      </c>
    </row>
    <row r="10" spans="1:4" ht="12.75">
      <c r="A10" t="s">
        <v>14</v>
      </c>
      <c r="B10" s="13">
        <v>0.32</v>
      </c>
      <c r="C10" s="15">
        <v>0.3</v>
      </c>
      <c r="D10" s="13">
        <f t="shared" si="0"/>
        <v>0.41600000000000004</v>
      </c>
    </row>
    <row r="11" spans="1:5" ht="12.75">
      <c r="A11" t="s">
        <v>7</v>
      </c>
      <c r="B11" s="13">
        <f>1.72+0.88</f>
        <v>2.6</v>
      </c>
      <c r="C11" s="15">
        <v>0.25</v>
      </c>
      <c r="D11" s="13">
        <f t="shared" si="0"/>
        <v>3.25</v>
      </c>
      <c r="E11" s="15" t="s">
        <v>12</v>
      </c>
    </row>
    <row r="12" spans="1:6" ht="12.75">
      <c r="A12" t="s">
        <v>8</v>
      </c>
      <c r="B12" s="13">
        <f>SUM(B7:B11)*(1/E12-1)</f>
        <v>2.6720149253731336</v>
      </c>
      <c r="C12" s="15">
        <v>0.25</v>
      </c>
      <c r="D12" s="13">
        <f t="shared" si="0"/>
        <v>3.340018656716417</v>
      </c>
      <c r="E12" s="15">
        <v>0.67</v>
      </c>
      <c r="F12" s="13" t="s">
        <v>11</v>
      </c>
    </row>
    <row r="13" spans="1:4" ht="13.5" thickBot="1">
      <c r="A13" s="12" t="s">
        <v>2</v>
      </c>
      <c r="B13" s="14">
        <f>SUM(B7:B12)</f>
        <v>8.097014925373134</v>
      </c>
      <c r="C13" s="17"/>
      <c r="D13" s="14">
        <f>SUM(D7:D12)</f>
        <v>10.153768656716418</v>
      </c>
    </row>
    <row r="14" ht="13.5" thickTop="1"/>
    <row r="16" ht="10.5" customHeight="1">
      <c r="A16" s="1"/>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29.xml><?xml version="1.0" encoding="utf-8"?>
<worksheet xmlns="http://schemas.openxmlformats.org/spreadsheetml/2006/main" xmlns:r="http://schemas.openxmlformats.org/officeDocument/2006/relationships">
  <dimension ref="A1:F15"/>
  <sheetViews>
    <sheetView workbookViewId="0" topLeftCell="A1">
      <selection activeCell="H10" sqref="H10"/>
    </sheetView>
  </sheetViews>
  <sheetFormatPr defaultColWidth="9.140625" defaultRowHeight="12.75"/>
  <cols>
    <col min="1" max="1" width="18.140625" style="0" customWidth="1"/>
    <col min="2" max="2" width="11.7109375" style="2" customWidth="1"/>
    <col min="3" max="3" width="11.7109375" style="0" customWidth="1"/>
    <col min="4" max="4" width="11.7109375" style="2" customWidth="1"/>
    <col min="5" max="5" width="11.7109375" style="4" customWidth="1"/>
    <col min="6" max="6" width="11.7109375" style="2" customWidth="1"/>
  </cols>
  <sheetData>
    <row r="1" ht="12.75">
      <c r="A1" s="1" t="s">
        <v>3</v>
      </c>
    </row>
    <row r="2" ht="12.75">
      <c r="A2" s="6">
        <v>38958</v>
      </c>
    </row>
    <row r="3" ht="12.75">
      <c r="A3" s="6"/>
    </row>
    <row r="5" ht="12.75">
      <c r="A5" s="1" t="s">
        <v>4</v>
      </c>
    </row>
    <row r="6" ht="12.75">
      <c r="A6" s="1"/>
    </row>
    <row r="7" spans="1:6" ht="38.25">
      <c r="A7" s="9" t="s">
        <v>0</v>
      </c>
      <c r="B7" s="3" t="s">
        <v>9</v>
      </c>
      <c r="C7" s="5" t="s">
        <v>1</v>
      </c>
      <c r="D7" s="3" t="s">
        <v>10</v>
      </c>
      <c r="E7" s="8"/>
      <c r="F7" s="7"/>
    </row>
    <row r="8" spans="1:4" ht="12.75">
      <c r="A8" t="s">
        <v>5</v>
      </c>
      <c r="B8" s="2">
        <v>1.33</v>
      </c>
      <c r="C8" s="4">
        <v>0.25</v>
      </c>
      <c r="D8" s="2">
        <f>B8*(1+C8)</f>
        <v>1.6625</v>
      </c>
    </row>
    <row r="9" spans="1:4" ht="12.75">
      <c r="A9" t="s">
        <v>6</v>
      </c>
      <c r="B9" s="2">
        <v>1.06</v>
      </c>
      <c r="C9" s="4">
        <v>0.25</v>
      </c>
      <c r="D9" s="2">
        <f>B9*(1+C9)</f>
        <v>1.3250000000000002</v>
      </c>
    </row>
    <row r="10" spans="1:4" ht="12.75">
      <c r="A10" t="s">
        <v>7</v>
      </c>
      <c r="B10" s="2">
        <f>1.72+0.88</f>
        <v>2.6</v>
      </c>
      <c r="C10" s="4">
        <v>0.25</v>
      </c>
      <c r="D10" s="2">
        <f>B10*(1+C10)</f>
        <v>3.25</v>
      </c>
    </row>
    <row r="11" spans="1:6" ht="12.75">
      <c r="A11" t="s">
        <v>8</v>
      </c>
      <c r="B11" s="2">
        <f>SUM(B8:B10)*(1/E11-1)</f>
        <v>2.45776119402985</v>
      </c>
      <c r="C11" s="4">
        <v>0.25</v>
      </c>
      <c r="D11" s="2">
        <f>B11*(1+C11)</f>
        <v>3.0722014925373125</v>
      </c>
      <c r="E11" s="4">
        <v>0.67</v>
      </c>
      <c r="F11" s="2" t="s">
        <v>11</v>
      </c>
    </row>
    <row r="12" spans="1:4" ht="13.5" thickBot="1">
      <c r="A12" s="12" t="s">
        <v>2</v>
      </c>
      <c r="B12" s="10">
        <f>SUM(B8:B11)</f>
        <v>7.44776119402985</v>
      </c>
      <c r="C12" s="11"/>
      <c r="D12" s="10">
        <f>SUM(D8:D11)</f>
        <v>9.309701492537313</v>
      </c>
    </row>
    <row r="13" ht="13.5" thickTop="1"/>
    <row r="15" ht="12.75">
      <c r="A15" s="1"/>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AE84"/>
  <sheetViews>
    <sheetView zoomScaleSheetLayoutView="100" workbookViewId="0" topLeftCell="A1">
      <pane xSplit="1" ySplit="5" topLeftCell="G13" activePane="bottomRight" state="frozen"/>
      <selection pane="topLeft" activeCell="A1" sqref="A1"/>
      <selection pane="topRight" activeCell="B1" sqref="B1"/>
      <selection pane="bottomLeft" activeCell="A6" sqref="A6"/>
      <selection pane="bottomRight" activeCell="L18" sqref="L18"/>
    </sheetView>
  </sheetViews>
  <sheetFormatPr defaultColWidth="9.140625" defaultRowHeight="12.75" outlineLevelRow="1"/>
  <cols>
    <col min="1" max="1" width="23.28125" style="0" customWidth="1"/>
    <col min="2" max="2" width="9.7109375" style="0" customWidth="1"/>
    <col min="3" max="3" width="10.00390625" style="37" customWidth="1"/>
    <col min="4" max="4" width="9.710937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154" t="s">
        <v>131</v>
      </c>
      <c r="Q5" s="376" t="s">
        <v>47</v>
      </c>
      <c r="R5" s="153" t="s">
        <v>53</v>
      </c>
      <c r="S5" s="153" t="s">
        <v>54</v>
      </c>
      <c r="T5" s="153" t="s">
        <v>320</v>
      </c>
      <c r="U5" s="153" t="s">
        <v>321</v>
      </c>
      <c r="V5" s="153" t="s">
        <v>315</v>
      </c>
      <c r="W5" s="153" t="s">
        <v>316</v>
      </c>
      <c r="X5" s="153" t="s">
        <v>317</v>
      </c>
      <c r="Y5" s="153" t="s">
        <v>318</v>
      </c>
      <c r="Z5" s="153" t="s">
        <v>60</v>
      </c>
      <c r="AA5" s="154" t="s">
        <v>319</v>
      </c>
      <c r="AB5" s="359"/>
      <c r="AC5" s="360"/>
    </row>
    <row r="6" spans="1:29" s="53" customFormat="1" ht="15.75">
      <c r="A6" s="72" t="s">
        <v>66</v>
      </c>
      <c r="B6" s="73"/>
      <c r="C6" s="73"/>
      <c r="D6" s="74" t="str">
        <f aca="true" t="shared" si="0" ref="D6:D19">IF($C6="Concept",0.25,IF($C6="Design",0.15,IF($C6="Prior",0.075,IF($C6="Fab",0.04,IF($C6="Flight",0.02," ")))))</f>
        <v> </v>
      </c>
      <c r="E6" s="119">
        <f>SUM(E7:E12)</f>
        <v>0.72</v>
      </c>
      <c r="F6" s="120">
        <f aca="true" t="shared" si="1" ref="F6:F19">(G6-E6)/E6</f>
        <v>0.25000000000000006</v>
      </c>
      <c r="G6" s="121">
        <f>SUM(G7:G12)</f>
        <v>0.9</v>
      </c>
      <c r="H6" s="61"/>
      <c r="I6" s="172"/>
      <c r="J6" s="426" t="s">
        <v>128</v>
      </c>
      <c r="K6" s="424"/>
      <c r="L6" s="424"/>
      <c r="M6" s="424"/>
      <c r="N6" s="424"/>
      <c r="O6" s="424"/>
      <c r="P6" s="425"/>
      <c r="Q6" s="424" t="s">
        <v>5</v>
      </c>
      <c r="R6" s="424"/>
      <c r="S6" s="424"/>
      <c r="T6" s="424"/>
      <c r="U6" s="424"/>
      <c r="V6" s="424"/>
      <c r="W6" s="424"/>
      <c r="X6" s="424"/>
      <c r="Y6" s="424"/>
      <c r="Z6" s="424"/>
      <c r="AA6" s="425"/>
      <c r="AB6" s="361"/>
      <c r="AC6" s="362"/>
    </row>
    <row r="7" spans="1:29" ht="12.75" outlineLevel="1">
      <c r="A7" s="64" t="s">
        <v>67</v>
      </c>
      <c r="B7" s="65" t="s">
        <v>13</v>
      </c>
      <c r="C7" s="30" t="s">
        <v>64</v>
      </c>
      <c r="D7" s="342">
        <f t="shared" si="0"/>
        <v>0.15</v>
      </c>
      <c r="E7" s="67">
        <f aca="true" t="shared" si="2" ref="E7:E12">I7</f>
        <v>0.12</v>
      </c>
      <c r="F7" s="68">
        <f t="shared" si="1"/>
        <v>0.25</v>
      </c>
      <c r="G7" s="118">
        <f aca="true" t="shared" si="3" ref="G7:G12">0.15</f>
        <v>0.15</v>
      </c>
      <c r="H7" s="70"/>
      <c r="I7" s="173">
        <f aca="true" t="shared" si="4" ref="I7:I12">J7*J$24+K7*K$24+L7*L$24+M7*M$24+N7*N$24+O7*O$24+P7*P$24+Q7*Q$24+R7*R$24+S7*S$24+T7*T$24+U7*U$24+V7*V$24+W7*W$24+X7*X$24+Y7*Y$24+Z7*Z$24+AA7*AA$24</f>
        <v>0.12</v>
      </c>
      <c r="J7" s="64"/>
      <c r="K7" s="56"/>
      <c r="L7" s="56"/>
      <c r="M7" s="56"/>
      <c r="N7" s="56"/>
      <c r="O7" s="56"/>
      <c r="P7" s="180"/>
      <c r="Q7" s="39"/>
      <c r="R7" s="86"/>
      <c r="S7" s="56"/>
      <c r="T7" s="56"/>
      <c r="U7" s="56"/>
      <c r="V7" s="57">
        <v>0.004</v>
      </c>
      <c r="W7" s="57"/>
      <c r="X7" s="57"/>
      <c r="Y7" s="57"/>
      <c r="Z7" s="57"/>
      <c r="AA7" s="155"/>
      <c r="AB7" s="363"/>
      <c r="AC7" s="364"/>
    </row>
    <row r="8" spans="1:29" ht="12.75" outlineLevel="1">
      <c r="A8" s="64" t="s">
        <v>68</v>
      </c>
      <c r="B8" s="65" t="s">
        <v>13</v>
      </c>
      <c r="C8" s="30" t="s">
        <v>64</v>
      </c>
      <c r="D8" s="342">
        <f t="shared" si="0"/>
        <v>0.15</v>
      </c>
      <c r="E8" s="67">
        <f t="shared" si="2"/>
        <v>0.12</v>
      </c>
      <c r="F8" s="68">
        <f t="shared" si="1"/>
        <v>0.25</v>
      </c>
      <c r="G8" s="118">
        <f t="shared" si="3"/>
        <v>0.15</v>
      </c>
      <c r="H8" s="70"/>
      <c r="I8" s="173">
        <f t="shared" si="4"/>
        <v>0.12</v>
      </c>
      <c r="J8" s="64"/>
      <c r="K8" s="56"/>
      <c r="L8" s="56"/>
      <c r="M8" s="56"/>
      <c r="N8" s="56"/>
      <c r="O8" s="56"/>
      <c r="P8" s="180"/>
      <c r="Q8" s="39"/>
      <c r="R8" s="56"/>
      <c r="S8" s="56"/>
      <c r="T8" s="56"/>
      <c r="U8" s="56"/>
      <c r="V8" s="57"/>
      <c r="W8" s="57">
        <v>0.004</v>
      </c>
      <c r="X8" s="57"/>
      <c r="Y8" s="57"/>
      <c r="Z8" s="57"/>
      <c r="AA8" s="155"/>
      <c r="AB8" s="363"/>
      <c r="AC8" s="364"/>
    </row>
    <row r="9" spans="1:29" ht="12.75" outlineLevel="1">
      <c r="A9" s="64" t="s">
        <v>69</v>
      </c>
      <c r="B9" s="65" t="s">
        <v>13</v>
      </c>
      <c r="C9" s="30" t="s">
        <v>64</v>
      </c>
      <c r="D9" s="342">
        <f t="shared" si="0"/>
        <v>0.15</v>
      </c>
      <c r="E9" s="67">
        <f t="shared" si="2"/>
        <v>0.12</v>
      </c>
      <c r="F9" s="68">
        <f t="shared" si="1"/>
        <v>0.25</v>
      </c>
      <c r="G9" s="118">
        <f t="shared" si="3"/>
        <v>0.15</v>
      </c>
      <c r="H9" s="70"/>
      <c r="I9" s="173">
        <f t="shared" si="4"/>
        <v>0.12</v>
      </c>
      <c r="J9" s="64"/>
      <c r="K9" s="56"/>
      <c r="L9" s="56"/>
      <c r="M9" s="56"/>
      <c r="N9" s="56"/>
      <c r="O9" s="56"/>
      <c r="P9" s="180"/>
      <c r="Q9" s="39"/>
      <c r="R9" s="56"/>
      <c r="S9" s="56"/>
      <c r="T9" s="56"/>
      <c r="U9" s="56"/>
      <c r="V9" s="57"/>
      <c r="W9" s="57"/>
      <c r="X9" s="57">
        <v>0.004</v>
      </c>
      <c r="Y9" s="57"/>
      <c r="Z9" s="57"/>
      <c r="AA9" s="155"/>
      <c r="AB9" s="363"/>
      <c r="AC9" s="364"/>
    </row>
    <row r="10" spans="1:29" ht="12.75" outlineLevel="1">
      <c r="A10" s="64" t="s">
        <v>70</v>
      </c>
      <c r="B10" s="65" t="s">
        <v>13</v>
      </c>
      <c r="C10" s="30" t="s">
        <v>64</v>
      </c>
      <c r="D10" s="342">
        <f t="shared" si="0"/>
        <v>0.15</v>
      </c>
      <c r="E10" s="67">
        <f t="shared" si="2"/>
        <v>0.12</v>
      </c>
      <c r="F10" s="68">
        <f t="shared" si="1"/>
        <v>0.25</v>
      </c>
      <c r="G10" s="118">
        <f t="shared" si="3"/>
        <v>0.15</v>
      </c>
      <c r="H10" s="70"/>
      <c r="I10" s="173">
        <f t="shared" si="4"/>
        <v>0.12</v>
      </c>
      <c r="J10" s="64"/>
      <c r="K10" s="56"/>
      <c r="L10" s="56"/>
      <c r="M10" s="56"/>
      <c r="N10" s="56"/>
      <c r="O10" s="56"/>
      <c r="P10" s="180"/>
      <c r="Q10" s="39"/>
      <c r="R10" s="56"/>
      <c r="S10" s="56"/>
      <c r="T10" s="56"/>
      <c r="U10" s="56"/>
      <c r="V10" s="57"/>
      <c r="W10" s="57"/>
      <c r="X10" s="57"/>
      <c r="Y10" s="57">
        <v>0.004</v>
      </c>
      <c r="Z10" s="57"/>
      <c r="AA10" s="155"/>
      <c r="AB10" s="363"/>
      <c r="AC10" s="364"/>
    </row>
    <row r="11" spans="1:29" ht="12.75" outlineLevel="1">
      <c r="A11" s="64" t="s">
        <v>71</v>
      </c>
      <c r="B11" s="65" t="s">
        <v>13</v>
      </c>
      <c r="C11" s="30" t="s">
        <v>64</v>
      </c>
      <c r="D11" s="342">
        <f t="shared" si="0"/>
        <v>0.15</v>
      </c>
      <c r="E11" s="67">
        <f t="shared" si="2"/>
        <v>0.12</v>
      </c>
      <c r="F11" s="68">
        <f t="shared" si="1"/>
        <v>0.25</v>
      </c>
      <c r="G11" s="118">
        <f t="shared" si="3"/>
        <v>0.15</v>
      </c>
      <c r="H11" s="70"/>
      <c r="I11" s="173">
        <f t="shared" si="4"/>
        <v>0.12</v>
      </c>
      <c r="J11" s="64"/>
      <c r="K11" s="56"/>
      <c r="L11" s="56"/>
      <c r="M11" s="56"/>
      <c r="N11" s="56"/>
      <c r="O11" s="56"/>
      <c r="P11" s="180"/>
      <c r="Q11" s="39"/>
      <c r="R11" s="56"/>
      <c r="S11" s="56"/>
      <c r="T11" s="56"/>
      <c r="U11" s="56"/>
      <c r="V11" s="57"/>
      <c r="W11" s="57"/>
      <c r="X11" s="57"/>
      <c r="Y11" s="57"/>
      <c r="Z11" s="57">
        <v>0.004</v>
      </c>
      <c r="AA11" s="155"/>
      <c r="AB11" s="363"/>
      <c r="AC11" s="364"/>
    </row>
    <row r="12" spans="1:29" ht="12.75" outlineLevel="1">
      <c r="A12" s="64" t="s">
        <v>72</v>
      </c>
      <c r="B12" s="65" t="s">
        <v>13</v>
      </c>
      <c r="C12" s="30" t="s">
        <v>64</v>
      </c>
      <c r="D12" s="342">
        <f t="shared" si="0"/>
        <v>0.15</v>
      </c>
      <c r="E12" s="67">
        <f t="shared" si="2"/>
        <v>0.12</v>
      </c>
      <c r="F12" s="68">
        <f t="shared" si="1"/>
        <v>0.25</v>
      </c>
      <c r="G12" s="118">
        <f t="shared" si="3"/>
        <v>0.15</v>
      </c>
      <c r="H12" s="70"/>
      <c r="I12" s="173">
        <f t="shared" si="4"/>
        <v>0.12</v>
      </c>
      <c r="J12" s="64"/>
      <c r="K12" s="56"/>
      <c r="L12" s="56"/>
      <c r="M12" s="56"/>
      <c r="N12" s="56"/>
      <c r="O12" s="56"/>
      <c r="P12" s="180"/>
      <c r="Q12" s="39"/>
      <c r="R12" s="56"/>
      <c r="S12" s="56"/>
      <c r="T12" s="56"/>
      <c r="U12" s="56"/>
      <c r="V12" s="57"/>
      <c r="W12" s="57"/>
      <c r="X12" s="57"/>
      <c r="Y12" s="57"/>
      <c r="Z12" s="57"/>
      <c r="AA12" s="57">
        <v>0.004</v>
      </c>
      <c r="AB12" s="363"/>
      <c r="AC12" s="364"/>
    </row>
    <row r="13" spans="1:29" s="53" customFormat="1" ht="15.75" outlineLevel="1">
      <c r="A13" s="72" t="s">
        <v>73</v>
      </c>
      <c r="B13" s="73"/>
      <c r="C13" s="73"/>
      <c r="D13" s="343" t="str">
        <f t="shared" si="0"/>
        <v> </v>
      </c>
      <c r="E13" s="119">
        <f>E14+E15+E16+E18+I19</f>
        <v>8.097598119999999</v>
      </c>
      <c r="F13" s="120">
        <f t="shared" si="1"/>
        <v>0.26684324758759465</v>
      </c>
      <c r="G13" s="121">
        <f>SUM(G14:G19)</f>
        <v>10.2583875</v>
      </c>
      <c r="H13" s="61"/>
      <c r="I13" s="174"/>
      <c r="J13" s="156"/>
      <c r="K13" s="51"/>
      <c r="L13" s="51"/>
      <c r="M13" s="51"/>
      <c r="N13" s="51"/>
      <c r="O13" s="51"/>
      <c r="P13" s="157"/>
      <c r="Q13" s="377"/>
      <c r="R13" s="51"/>
      <c r="S13" s="51"/>
      <c r="T13" s="51"/>
      <c r="U13" s="51"/>
      <c r="V13" s="51"/>
      <c r="W13" s="51"/>
      <c r="X13" s="51"/>
      <c r="Y13" s="51"/>
      <c r="Z13" s="51"/>
      <c r="AA13" s="157"/>
      <c r="AB13" s="361"/>
      <c r="AC13" s="362"/>
    </row>
    <row r="14" spans="1:31" ht="12.75" outlineLevel="1">
      <c r="A14" s="64" t="s">
        <v>361</v>
      </c>
      <c r="B14" s="76" t="s">
        <v>13</v>
      </c>
      <c r="C14" s="30" t="s">
        <v>64</v>
      </c>
      <c r="D14" s="344">
        <f t="shared" si="0"/>
        <v>0.15</v>
      </c>
      <c r="E14" s="70">
        <f>I14</f>
        <v>1.315536</v>
      </c>
      <c r="F14" s="68">
        <f t="shared" si="1"/>
        <v>0.38984223920896105</v>
      </c>
      <c r="G14" s="118">
        <v>1.8283874999999998</v>
      </c>
      <c r="H14" s="70"/>
      <c r="I14" s="173">
        <f aca="true" t="shared" si="5" ref="I14:I22">J14*J$24+K14*K$24+L14*L$24+M14*M$24+N14*N$24+O14*O$24+P14*P$24+Q14*Q$24+R14*R$24+S14*S$24+T14*T$24+U14*U$24+V14*V$24+W14*W$24+X14*X$24+Y14*Y$24+Z14*Z$24+AA14*AA$24</f>
        <v>1.315536</v>
      </c>
      <c r="J14" s="159">
        <v>0.006</v>
      </c>
      <c r="K14" s="57">
        <v>0.085</v>
      </c>
      <c r="L14" s="57">
        <f>0.08276</f>
        <v>0.08276</v>
      </c>
      <c r="M14" s="57">
        <f>0.049</f>
        <v>0.049</v>
      </c>
      <c r="N14" s="144">
        <f>0.065</f>
        <v>0.065</v>
      </c>
      <c r="O14" s="207">
        <f>0.01375</f>
        <v>0.01375</v>
      </c>
      <c r="P14" s="155">
        <f>0.01271</f>
        <v>0.01271</v>
      </c>
      <c r="Q14" s="115"/>
      <c r="R14" s="143"/>
      <c r="S14" s="143"/>
      <c r="T14" s="57"/>
      <c r="U14" s="57"/>
      <c r="V14" s="57"/>
      <c r="W14" s="57"/>
      <c r="X14" s="57"/>
      <c r="Y14" s="57"/>
      <c r="Z14" s="57"/>
      <c r="AA14" s="155"/>
      <c r="AB14" s="365"/>
      <c r="AC14" s="366"/>
      <c r="AE14" t="s">
        <v>355</v>
      </c>
    </row>
    <row r="15" spans="1:31" ht="12.75" outlineLevel="1">
      <c r="A15" s="64" t="s">
        <v>75</v>
      </c>
      <c r="B15" s="65" t="s">
        <v>13</v>
      </c>
      <c r="C15" s="30" t="s">
        <v>64</v>
      </c>
      <c r="D15" s="342">
        <f t="shared" si="0"/>
        <v>0.15</v>
      </c>
      <c r="E15" s="67">
        <f>I15</f>
        <v>1.9029999999999996</v>
      </c>
      <c r="F15" s="68">
        <f t="shared" si="1"/>
        <v>-0.027850761954807936</v>
      </c>
      <c r="G15" s="118">
        <v>1.85</v>
      </c>
      <c r="H15" s="70"/>
      <c r="I15" s="173">
        <f t="shared" si="5"/>
        <v>1.9029999999999996</v>
      </c>
      <c r="J15" s="159"/>
      <c r="K15" s="57"/>
      <c r="L15" s="57"/>
      <c r="M15" s="57"/>
      <c r="N15" s="57"/>
      <c r="O15" s="182"/>
      <c r="P15" s="183"/>
      <c r="Q15" s="378">
        <v>0.003</v>
      </c>
      <c r="R15" s="57">
        <v>0.063</v>
      </c>
      <c r="S15" s="57">
        <v>0.052</v>
      </c>
      <c r="T15" s="326">
        <v>0.0013</v>
      </c>
      <c r="U15" s="326">
        <v>0.0003</v>
      </c>
      <c r="V15" s="57">
        <v>0.0021</v>
      </c>
      <c r="W15" s="57">
        <v>0.0021</v>
      </c>
      <c r="X15" s="57">
        <v>0.0021</v>
      </c>
      <c r="Y15" s="57">
        <v>0.0021</v>
      </c>
      <c r="Z15" s="57">
        <v>0.0021</v>
      </c>
      <c r="AA15" s="57">
        <v>0.0021</v>
      </c>
      <c r="AB15" s="365"/>
      <c r="AC15" s="366"/>
      <c r="AE15" t="s">
        <v>356</v>
      </c>
    </row>
    <row r="16" spans="1:29" ht="12.75" outlineLevel="1">
      <c r="A16" s="64" t="s">
        <v>76</v>
      </c>
      <c r="B16" s="65" t="s">
        <v>13</v>
      </c>
      <c r="C16" s="30" t="s">
        <v>65</v>
      </c>
      <c r="D16" s="342">
        <f t="shared" si="0"/>
        <v>0.25</v>
      </c>
      <c r="E16" s="67">
        <f>I16</f>
        <v>0.4875</v>
      </c>
      <c r="F16" s="68">
        <f t="shared" si="1"/>
        <v>0.25000000000000006</v>
      </c>
      <c r="G16" s="118">
        <v>0.609375</v>
      </c>
      <c r="H16" s="70"/>
      <c r="I16" s="173">
        <f t="shared" si="5"/>
        <v>0.4875</v>
      </c>
      <c r="J16" s="159"/>
      <c r="K16" s="57"/>
      <c r="L16" s="57"/>
      <c r="M16" s="57">
        <v>0.0025</v>
      </c>
      <c r="N16" s="57">
        <v>0.005</v>
      </c>
      <c r="O16" s="182">
        <v>0.025</v>
      </c>
      <c r="P16" s="183">
        <v>0.02</v>
      </c>
      <c r="Q16" s="378"/>
      <c r="R16" s="143"/>
      <c r="S16" s="143"/>
      <c r="T16" s="57"/>
      <c r="U16" s="57"/>
      <c r="V16" s="57"/>
      <c r="W16" s="57"/>
      <c r="X16" s="57"/>
      <c r="Y16" s="57"/>
      <c r="Z16" s="57"/>
      <c r="AA16" s="155"/>
      <c r="AB16" s="365"/>
      <c r="AC16" s="366"/>
    </row>
    <row r="17" spans="1:29" ht="12.75" outlineLevel="1">
      <c r="A17" s="64" t="s">
        <v>85</v>
      </c>
      <c r="B17" s="65"/>
      <c r="C17" s="30" t="s">
        <v>65</v>
      </c>
      <c r="D17" s="342">
        <f t="shared" si="0"/>
        <v>0.25</v>
      </c>
      <c r="E17" s="67">
        <f>I17</f>
        <v>0.07200000000000001</v>
      </c>
      <c r="F17" s="68">
        <f t="shared" si="1"/>
        <v>-1</v>
      </c>
      <c r="G17" s="118"/>
      <c r="H17" s="70"/>
      <c r="I17" s="173">
        <f t="shared" si="5"/>
        <v>0.07200000000000001</v>
      </c>
      <c r="J17" s="159"/>
      <c r="K17" s="57"/>
      <c r="L17" s="323">
        <f>L54*L33</f>
        <v>0.02</v>
      </c>
      <c r="M17" s="57"/>
      <c r="N17" s="57"/>
      <c r="O17" s="57"/>
      <c r="P17" s="155"/>
      <c r="Q17" s="115"/>
      <c r="R17" s="57"/>
      <c r="S17" s="57"/>
      <c r="T17" s="57"/>
      <c r="U17" s="57"/>
      <c r="V17" s="57"/>
      <c r="W17" s="57"/>
      <c r="X17" s="57"/>
      <c r="Y17" s="57"/>
      <c r="Z17" s="57"/>
      <c r="AA17" s="155"/>
      <c r="AB17" s="365"/>
      <c r="AC17" s="366"/>
    </row>
    <row r="18" spans="1:31" ht="12.75" outlineLevel="1">
      <c r="A18" s="64" t="s">
        <v>77</v>
      </c>
      <c r="B18" s="65" t="s">
        <v>13</v>
      </c>
      <c r="C18" s="30" t="s">
        <v>64</v>
      </c>
      <c r="D18" s="342">
        <f t="shared" si="0"/>
        <v>0.15</v>
      </c>
      <c r="E18" s="67">
        <f>I18</f>
        <v>0.9405000000000002</v>
      </c>
      <c r="F18" s="68">
        <f t="shared" si="1"/>
        <v>1.2222222222222217</v>
      </c>
      <c r="G18" s="118">
        <v>2.09</v>
      </c>
      <c r="H18" s="70"/>
      <c r="I18" s="173">
        <f t="shared" si="5"/>
        <v>0.9405000000000002</v>
      </c>
      <c r="J18" s="381">
        <f>0.004*1.1</f>
        <v>0.0044</v>
      </c>
      <c r="K18" s="375">
        <v>0.085</v>
      </c>
      <c r="L18" s="375">
        <f>0.135+L17</f>
        <v>0.155</v>
      </c>
      <c r="M18" s="375">
        <f>0.015*1.1</f>
        <v>0.0165</v>
      </c>
      <c r="N18" s="375">
        <f>0.01*1.1</f>
        <v>0.011000000000000001</v>
      </c>
      <c r="O18" s="375">
        <v>0.0035</v>
      </c>
      <c r="P18" s="382">
        <v>0.0035</v>
      </c>
      <c r="Q18" s="115"/>
      <c r="R18" s="57"/>
      <c r="S18" s="57"/>
      <c r="T18" s="57"/>
      <c r="U18" s="57"/>
      <c r="V18" s="57"/>
      <c r="W18" s="57"/>
      <c r="X18" s="57"/>
      <c r="Y18" s="57"/>
      <c r="Z18" s="57"/>
      <c r="AA18" s="155"/>
      <c r="AB18" s="365"/>
      <c r="AC18" s="366"/>
      <c r="AE18" t="s">
        <v>355</v>
      </c>
    </row>
    <row r="19" spans="1:29" ht="12.75" outlineLevel="1">
      <c r="A19" s="80" t="s">
        <v>78</v>
      </c>
      <c r="B19" s="81" t="s">
        <v>13</v>
      </c>
      <c r="C19" s="330" t="s">
        <v>64</v>
      </c>
      <c r="D19" s="345">
        <f t="shared" si="0"/>
        <v>0.15</v>
      </c>
      <c r="E19" s="383">
        <f>E23/(E23+I19)</f>
        <v>0.5738165726604373</v>
      </c>
      <c r="F19" s="135">
        <f t="shared" si="1"/>
        <v>5.762831861073496</v>
      </c>
      <c r="G19" s="136">
        <f>4.49-G16</f>
        <v>3.880625</v>
      </c>
      <c r="H19" s="373" t="s">
        <v>374</v>
      </c>
      <c r="I19" s="389">
        <f t="shared" si="5"/>
        <v>3.4510621199999996</v>
      </c>
      <c r="J19" s="381">
        <f aca="true" t="shared" si="6" ref="J19:K22">SUM(J$6:J$18)*$L27</f>
        <v>0.005668</v>
      </c>
      <c r="K19" s="375">
        <f t="shared" si="6"/>
        <v>0.09265000000000001</v>
      </c>
      <c r="L19" s="375">
        <f>SUM(L$14+L$18)*$L27</f>
        <v>0.1295792</v>
      </c>
      <c r="M19" s="375">
        <f aca="true" t="shared" si="7" ref="M19:S22">SUM(M$6:M$18)*$L27</f>
        <v>0.03706</v>
      </c>
      <c r="N19" s="375">
        <f t="shared" si="7"/>
        <v>0.044145000000000004</v>
      </c>
      <c r="O19" s="375">
        <f t="shared" si="7"/>
        <v>0.02302625</v>
      </c>
      <c r="P19" s="382">
        <f t="shared" si="7"/>
        <v>0.019734450000000004</v>
      </c>
      <c r="Q19" s="374">
        <f t="shared" si="7"/>
        <v>0.0016350000000000002</v>
      </c>
      <c r="R19" s="207">
        <f t="shared" si="7"/>
        <v>0.034335000000000004</v>
      </c>
      <c r="S19" s="207">
        <f t="shared" si="7"/>
        <v>0.02834</v>
      </c>
      <c r="T19" s="327">
        <f>SUM(T$6:T$18)*$W$27+$Z$31/$T$24</f>
        <v>0.0017756944444444443</v>
      </c>
      <c r="U19" s="327">
        <f>SUM(U$6:U$18)*$W$27+$Z$31/$U$24</f>
        <v>0.0014354166666666667</v>
      </c>
      <c r="V19" s="207">
        <f aca="true" t="shared" si="8" ref="V19:AA22">SUM(V$6:V$18)*$L27</f>
        <v>0.0033245</v>
      </c>
      <c r="W19" s="207">
        <f t="shared" si="8"/>
        <v>0.0033245</v>
      </c>
      <c r="X19" s="207">
        <f t="shared" si="8"/>
        <v>0.0033245</v>
      </c>
      <c r="Y19" s="207">
        <f t="shared" si="8"/>
        <v>0.0033245</v>
      </c>
      <c r="Z19" s="207">
        <f t="shared" si="8"/>
        <v>0.0033245</v>
      </c>
      <c r="AA19" s="207">
        <f t="shared" si="8"/>
        <v>0.0033245</v>
      </c>
      <c r="AB19" s="149"/>
      <c r="AC19" s="87"/>
    </row>
    <row r="20" spans="4:29" ht="12.75" outlineLevel="1">
      <c r="D20" s="16" t="s">
        <v>390</v>
      </c>
      <c r="E20" s="384">
        <f>$E$23/($E$23+I20)</f>
        <v>0.579188027879708</v>
      </c>
      <c r="F20" s="68"/>
      <c r="G20" s="118"/>
      <c r="H20" s="373" t="s">
        <v>375</v>
      </c>
      <c r="I20" s="389">
        <f t="shared" si="5"/>
        <v>3.3759640799999993</v>
      </c>
      <c r="J20" s="381">
        <f t="shared" si="6"/>
        <v>0.005512</v>
      </c>
      <c r="K20" s="375">
        <f t="shared" si="6"/>
        <v>0.09010000000000001</v>
      </c>
      <c r="L20" s="375">
        <f>SUM(L$14+L$18)*$L28</f>
        <v>0.1260128</v>
      </c>
      <c r="M20" s="375">
        <f t="shared" si="7"/>
        <v>0.03604</v>
      </c>
      <c r="N20" s="375">
        <f t="shared" si="7"/>
        <v>0.04293</v>
      </c>
      <c r="O20" s="375">
        <f t="shared" si="7"/>
        <v>0.022392500000000003</v>
      </c>
      <c r="P20" s="382">
        <f t="shared" si="7"/>
        <v>0.019191300000000005</v>
      </c>
      <c r="Q20" s="374">
        <f t="shared" si="7"/>
        <v>0.00159</v>
      </c>
      <c r="R20" s="207">
        <f t="shared" si="7"/>
        <v>0.03339</v>
      </c>
      <c r="S20" s="207">
        <f t="shared" si="7"/>
        <v>0.02756</v>
      </c>
      <c r="T20" s="327">
        <f>SUM(T$6:T$18)*$W$27+$Z$31/$T$24</f>
        <v>0.0017756944444444443</v>
      </c>
      <c r="U20" s="327">
        <f>SUM(U$6:U$18)*$W$27+$Z$31/$U$24</f>
        <v>0.0014354166666666667</v>
      </c>
      <c r="V20" s="207">
        <f t="shared" si="8"/>
        <v>0.0032329999999999998</v>
      </c>
      <c r="W20" s="207">
        <f t="shared" si="8"/>
        <v>0.0032329999999999998</v>
      </c>
      <c r="X20" s="207">
        <f t="shared" si="8"/>
        <v>0.0032329999999999998</v>
      </c>
      <c r="Y20" s="207">
        <f t="shared" si="8"/>
        <v>0.0032329999999999998</v>
      </c>
      <c r="Z20" s="207">
        <f t="shared" si="8"/>
        <v>0.0032329999999999998</v>
      </c>
      <c r="AA20" s="207">
        <f t="shared" si="8"/>
        <v>0.0032329999999999998</v>
      </c>
      <c r="AB20" s="372"/>
      <c r="AC20" s="372"/>
    </row>
    <row r="21" spans="1:29" ht="12.75" outlineLevel="1">
      <c r="A21" s="371"/>
      <c r="B21" s="65"/>
      <c r="C21" s="30"/>
      <c r="D21" s="342" t="s">
        <v>390</v>
      </c>
      <c r="E21" s="384">
        <f>$E$23/($E$23+I21)</f>
        <v>0.5650821793503747</v>
      </c>
      <c r="F21" s="68"/>
      <c r="G21" s="118"/>
      <c r="H21" s="373" t="s">
        <v>376</v>
      </c>
      <c r="I21" s="389">
        <f t="shared" si="5"/>
        <v>3.576225519999999</v>
      </c>
      <c r="J21" s="381">
        <f t="shared" si="6"/>
        <v>0.005927999999999999</v>
      </c>
      <c r="K21" s="375">
        <f t="shared" si="6"/>
        <v>0.0969</v>
      </c>
      <c r="L21" s="375">
        <f>SUM(L$14+L$18)*$L29</f>
        <v>0.13552319999999998</v>
      </c>
      <c r="M21" s="375">
        <f t="shared" si="7"/>
        <v>0.03876</v>
      </c>
      <c r="N21" s="375">
        <f t="shared" si="7"/>
        <v>0.046169999999999996</v>
      </c>
      <c r="O21" s="375">
        <f t="shared" si="7"/>
        <v>0.0240825</v>
      </c>
      <c r="P21" s="382">
        <f t="shared" si="7"/>
        <v>0.0206397</v>
      </c>
      <c r="Q21" s="374">
        <f t="shared" si="7"/>
        <v>0.00171</v>
      </c>
      <c r="R21" s="207">
        <f t="shared" si="7"/>
        <v>0.03591</v>
      </c>
      <c r="S21" s="207">
        <f t="shared" si="7"/>
        <v>0.029639999999999996</v>
      </c>
      <c r="T21" s="327">
        <f>SUM(T$6:T$18)*$W$27+$Z$31/$T$24</f>
        <v>0.0017756944444444443</v>
      </c>
      <c r="U21" s="327">
        <f>SUM(U$6:U$18)*$W$27+$Z$31/$U$24</f>
        <v>0.0014354166666666667</v>
      </c>
      <c r="V21" s="207">
        <f t="shared" si="8"/>
        <v>0.0034769999999999996</v>
      </c>
      <c r="W21" s="207">
        <f t="shared" si="8"/>
        <v>0.0034769999999999996</v>
      </c>
      <c r="X21" s="207">
        <f t="shared" si="8"/>
        <v>0.0034769999999999996</v>
      </c>
      <c r="Y21" s="207">
        <f t="shared" si="8"/>
        <v>0.0034769999999999996</v>
      </c>
      <c r="Z21" s="207">
        <f t="shared" si="8"/>
        <v>0.0034769999999999996</v>
      </c>
      <c r="AA21" s="207">
        <f t="shared" si="8"/>
        <v>0.0034769999999999996</v>
      </c>
      <c r="AB21" s="372"/>
      <c r="AC21" s="372"/>
    </row>
    <row r="22" spans="1:29" ht="12.75" outlineLevel="1">
      <c r="A22" s="371"/>
      <c r="B22" s="65"/>
      <c r="C22" s="30"/>
      <c r="D22" s="342" t="s">
        <v>390</v>
      </c>
      <c r="E22" s="384">
        <f>$E$23/($E$23+I22)</f>
        <v>0.5516470775475601</v>
      </c>
      <c r="F22" s="68"/>
      <c r="G22" s="118"/>
      <c r="H22" s="373" t="s">
        <v>377</v>
      </c>
      <c r="I22" s="389">
        <f t="shared" si="5"/>
        <v>3.7764869599999993</v>
      </c>
      <c r="J22" s="381">
        <f t="shared" si="6"/>
        <v>0.006344</v>
      </c>
      <c r="K22" s="375">
        <f t="shared" si="6"/>
        <v>0.1037</v>
      </c>
      <c r="L22" s="375">
        <f>SUM(L$14+L$18)*$L30</f>
        <v>0.14503359999999998</v>
      </c>
      <c r="M22" s="375">
        <f t="shared" si="7"/>
        <v>0.04148</v>
      </c>
      <c r="N22" s="375">
        <f t="shared" si="7"/>
        <v>0.04941</v>
      </c>
      <c r="O22" s="375">
        <f t="shared" si="7"/>
        <v>0.0257725</v>
      </c>
      <c r="P22" s="382">
        <f t="shared" si="7"/>
        <v>0.022088100000000003</v>
      </c>
      <c r="Q22" s="374">
        <f t="shared" si="7"/>
        <v>0.00183</v>
      </c>
      <c r="R22" s="207">
        <f t="shared" si="7"/>
        <v>0.03843</v>
      </c>
      <c r="S22" s="207">
        <f t="shared" si="7"/>
        <v>0.03172</v>
      </c>
      <c r="T22" s="327">
        <f>SUM(T$6:T$18)*$W$27+$Z$31/$T$24</f>
        <v>0.0017756944444444443</v>
      </c>
      <c r="U22" s="327">
        <f>SUM(U$6:U$18)*$W$27+$Z$31/$U$24</f>
        <v>0.0014354166666666667</v>
      </c>
      <c r="V22" s="207">
        <f t="shared" si="8"/>
        <v>0.0037209999999999995</v>
      </c>
      <c r="W22" s="207">
        <f t="shared" si="8"/>
        <v>0.0037209999999999995</v>
      </c>
      <c r="X22" s="207">
        <f t="shared" si="8"/>
        <v>0.0037209999999999995</v>
      </c>
      <c r="Y22" s="207">
        <f t="shared" si="8"/>
        <v>0.0037209999999999995</v>
      </c>
      <c r="Z22" s="207">
        <f t="shared" si="8"/>
        <v>0.0037209999999999995</v>
      </c>
      <c r="AA22" s="207">
        <f t="shared" si="8"/>
        <v>0.0037209999999999995</v>
      </c>
      <c r="AB22" s="372"/>
      <c r="AC22" s="372"/>
    </row>
    <row r="23" spans="1:29" ht="12.75">
      <c r="A23" s="371" t="s">
        <v>382</v>
      </c>
      <c r="B23" s="65"/>
      <c r="C23" s="30"/>
      <c r="D23" s="342" t="s">
        <v>390</v>
      </c>
      <c r="E23" s="67">
        <f>E14+E15+E18+E16</f>
        <v>4.646535999999999</v>
      </c>
      <c r="F23" s="68"/>
      <c r="G23" s="69"/>
      <c r="H23" s="70"/>
      <c r="I23" s="175"/>
      <c r="J23" s="162"/>
      <c r="K23" s="89"/>
      <c r="L23" s="89"/>
      <c r="M23" s="89"/>
      <c r="N23" s="89"/>
      <c r="O23" s="89"/>
      <c r="P23" s="163"/>
      <c r="Q23" s="89"/>
      <c r="R23" s="257"/>
      <c r="S23" s="89"/>
      <c r="T23" s="89"/>
      <c r="U23" s="89"/>
      <c r="V23" s="89"/>
      <c r="W23" s="89"/>
      <c r="X23" s="89"/>
      <c r="Y23" s="89"/>
      <c r="Z23" s="89"/>
      <c r="AA23" s="163"/>
      <c r="AB23" s="90"/>
      <c r="AC23" s="90"/>
    </row>
    <row r="24" spans="1:29" s="53" customFormat="1" ht="16.5" thickBot="1">
      <c r="A24" s="91" t="s">
        <v>79</v>
      </c>
      <c r="B24" s="92"/>
      <c r="C24" s="92"/>
      <c r="D24" s="238"/>
      <c r="E24" s="239">
        <f>SUM(E13+E6)</f>
        <v>8.81759812</v>
      </c>
      <c r="F24" s="240">
        <f>(G24-E24)/E24</f>
        <v>0.2654679140672835</v>
      </c>
      <c r="G24" s="241">
        <f>SUM(G13+G6)</f>
        <v>11.1583875</v>
      </c>
      <c r="H24" s="94"/>
      <c r="I24" s="176">
        <f>SUM(I6:I12)+SUM(I14:I16)+SUM(I18:I19)</f>
        <v>8.81759812</v>
      </c>
      <c r="J24" s="164">
        <v>5</v>
      </c>
      <c r="K24" s="97">
        <v>1.8</v>
      </c>
      <c r="L24" s="97">
        <v>3.6</v>
      </c>
      <c r="M24" s="97">
        <v>5</v>
      </c>
      <c r="N24" s="97">
        <v>5</v>
      </c>
      <c r="O24" s="97">
        <v>10</v>
      </c>
      <c r="P24" s="165">
        <v>10</v>
      </c>
      <c r="Q24" s="379">
        <v>5</v>
      </c>
      <c r="R24" s="97">
        <v>10</v>
      </c>
      <c r="S24" s="97">
        <v>10</v>
      </c>
      <c r="T24" s="97">
        <v>225</v>
      </c>
      <c r="U24" s="97">
        <v>225</v>
      </c>
      <c r="V24" s="97">
        <v>30</v>
      </c>
      <c r="W24" s="97">
        <v>30</v>
      </c>
      <c r="X24" s="97">
        <v>30</v>
      </c>
      <c r="Y24" s="97">
        <v>30</v>
      </c>
      <c r="Z24" s="97">
        <v>30</v>
      </c>
      <c r="AA24" s="165">
        <v>30</v>
      </c>
      <c r="AB24" s="150" t="s">
        <v>80</v>
      </c>
      <c r="AC24" s="99"/>
    </row>
    <row r="25" spans="1:29" s="53" customFormat="1" ht="16.5" thickBot="1">
      <c r="A25" s="100"/>
      <c r="B25" s="63"/>
      <c r="C25" s="101"/>
      <c r="D25" s="242" t="s">
        <v>252</v>
      </c>
      <c r="E25" s="244">
        <f>I58</f>
        <v>15.540368506230907</v>
      </c>
      <c r="F25" s="331">
        <f>(G25-E25)/E25</f>
        <v>0.49114868097939823</v>
      </c>
      <c r="G25" s="245">
        <v>23.173</v>
      </c>
      <c r="H25" s="94"/>
      <c r="I25" s="177" t="s">
        <v>258</v>
      </c>
      <c r="J25" s="166">
        <f>SUM(J6:J12)+SUM(J14:J18)</f>
        <v>0.0104</v>
      </c>
      <c r="K25" s="104">
        <f>SUM(K6:K12)+SUM(K14:K18)</f>
        <v>0.17</v>
      </c>
      <c r="L25" s="104">
        <f>L14+L18</f>
        <v>0.23776</v>
      </c>
      <c r="M25" s="104">
        <f aca="true" t="shared" si="9" ref="M25:AA25">SUM(M6:M12)+SUM(M14:M18)</f>
        <v>0.068</v>
      </c>
      <c r="N25" s="104">
        <f t="shared" si="9"/>
        <v>0.081</v>
      </c>
      <c r="O25" s="104">
        <f t="shared" si="9"/>
        <v>0.04225</v>
      </c>
      <c r="P25" s="167">
        <f t="shared" si="9"/>
        <v>0.036210000000000006</v>
      </c>
      <c r="Q25" s="116">
        <f t="shared" si="9"/>
        <v>0.003</v>
      </c>
      <c r="R25" s="258">
        <f t="shared" si="9"/>
        <v>0.063</v>
      </c>
      <c r="S25" s="104">
        <f t="shared" si="9"/>
        <v>0.052</v>
      </c>
      <c r="T25" s="328">
        <f t="shared" si="9"/>
        <v>0.0013</v>
      </c>
      <c r="U25" s="328">
        <f t="shared" si="9"/>
        <v>0.0003</v>
      </c>
      <c r="V25" s="104">
        <f t="shared" si="9"/>
        <v>0.0060999999999999995</v>
      </c>
      <c r="W25" s="104">
        <f t="shared" si="9"/>
        <v>0.0060999999999999995</v>
      </c>
      <c r="X25" s="104">
        <f t="shared" si="9"/>
        <v>0.0060999999999999995</v>
      </c>
      <c r="Y25" s="104">
        <f t="shared" si="9"/>
        <v>0.0060999999999999995</v>
      </c>
      <c r="Z25" s="104">
        <f t="shared" si="9"/>
        <v>0.0060999999999999995</v>
      </c>
      <c r="AA25" s="167">
        <f t="shared" si="9"/>
        <v>0.0060999999999999995</v>
      </c>
      <c r="AB25" s="150" t="s">
        <v>81</v>
      </c>
      <c r="AC25" s="99"/>
    </row>
    <row r="26" spans="1:29" s="53" customFormat="1" ht="16.5" thickBot="1">
      <c r="A26"/>
      <c r="B26" s="66"/>
      <c r="H26" s="105"/>
      <c r="I26" s="178"/>
      <c r="J26" s="168">
        <f aca="true" t="shared" si="10" ref="J26:AA26">J24*J25</f>
        <v>0.052</v>
      </c>
      <c r="K26" s="181">
        <f t="shared" si="10"/>
        <v>0.30600000000000005</v>
      </c>
      <c r="L26" s="169">
        <f t="shared" si="10"/>
        <v>0.855936</v>
      </c>
      <c r="M26" s="169">
        <f t="shared" si="10"/>
        <v>0.34</v>
      </c>
      <c r="N26" s="169">
        <f t="shared" si="10"/>
        <v>0.405</v>
      </c>
      <c r="O26" s="169">
        <f t="shared" si="10"/>
        <v>0.42250000000000004</v>
      </c>
      <c r="P26" s="170">
        <f t="shared" si="10"/>
        <v>0.3621000000000001</v>
      </c>
      <c r="Q26" s="380">
        <f t="shared" si="10"/>
        <v>0.015</v>
      </c>
      <c r="R26" s="169">
        <f t="shared" si="10"/>
        <v>0.63</v>
      </c>
      <c r="S26" s="169">
        <f t="shared" si="10"/>
        <v>0.52</v>
      </c>
      <c r="T26" s="169">
        <f t="shared" si="10"/>
        <v>0.2925</v>
      </c>
      <c r="U26" s="169">
        <f t="shared" si="10"/>
        <v>0.06749999999999999</v>
      </c>
      <c r="V26" s="169">
        <f t="shared" si="10"/>
        <v>0.183</v>
      </c>
      <c r="W26" s="169">
        <f t="shared" si="10"/>
        <v>0.183</v>
      </c>
      <c r="X26" s="169">
        <f t="shared" si="10"/>
        <v>0.183</v>
      </c>
      <c r="Y26" s="169">
        <f t="shared" si="10"/>
        <v>0.183</v>
      </c>
      <c r="Z26" s="169">
        <f t="shared" si="10"/>
        <v>0.183</v>
      </c>
      <c r="AA26" s="170">
        <f t="shared" si="10"/>
        <v>0.183</v>
      </c>
      <c r="AB26" s="151" t="s">
        <v>4</v>
      </c>
      <c r="AC26" s="110"/>
    </row>
    <row r="27" spans="1:29" s="53" customFormat="1" ht="15.75" outlineLevel="1">
      <c r="A27"/>
      <c r="B27" s="39"/>
      <c r="C27" s="63"/>
      <c r="D27" s="63"/>
      <c r="E27" s="112"/>
      <c r="F27" s="358"/>
      <c r="G27" s="112"/>
      <c r="H27" s="94"/>
      <c r="I27" s="79" t="s">
        <v>369</v>
      </c>
      <c r="L27" s="112">
        <v>0.545</v>
      </c>
      <c r="M27" s="113"/>
      <c r="N27" s="79" t="s">
        <v>261</v>
      </c>
      <c r="P27" s="79">
        <f>1/(1+L27)</f>
        <v>0.6472491909385114</v>
      </c>
      <c r="Q27" s="53" t="s">
        <v>262</v>
      </c>
      <c r="S27" s="1" t="s">
        <v>326</v>
      </c>
      <c r="T27" s="319"/>
      <c r="U27" s="319"/>
      <c r="V27" s="319"/>
      <c r="W27" s="1">
        <f>(1/Z27-Z31/(T24*0.006)-1)</f>
        <v>0.3402777777777777</v>
      </c>
      <c r="X27" s="79" t="s">
        <v>261</v>
      </c>
      <c r="Z27" s="318">
        <v>0.64</v>
      </c>
      <c r="AA27" s="53" t="s">
        <v>262</v>
      </c>
      <c r="AC27" s="71"/>
    </row>
    <row r="28" spans="1:29" s="53" customFormat="1" ht="15.75" outlineLevel="1">
      <c r="A28"/>
      <c r="B28" s="39"/>
      <c r="C28" s="63"/>
      <c r="D28" s="63"/>
      <c r="E28" s="112"/>
      <c r="F28" s="358"/>
      <c r="G28" s="112"/>
      <c r="H28" s="94"/>
      <c r="I28" s="79" t="s">
        <v>370</v>
      </c>
      <c r="L28" s="112">
        <v>0.53</v>
      </c>
      <c r="M28" s="113"/>
      <c r="N28" s="79" t="s">
        <v>261</v>
      </c>
      <c r="P28" s="79">
        <f>1/(1+L28)</f>
        <v>0.6535947712418301</v>
      </c>
      <c r="Q28" s="53" t="s">
        <v>262</v>
      </c>
      <c r="S28" s="1"/>
      <c r="T28" s="319"/>
      <c r="U28" s="319"/>
      <c r="V28" s="319"/>
      <c r="W28" s="1"/>
      <c r="X28" s="79"/>
      <c r="Z28" s="318"/>
      <c r="AC28" s="71"/>
    </row>
    <row r="29" spans="1:29" s="53" customFormat="1" ht="15.75" outlineLevel="1">
      <c r="A29"/>
      <c r="B29" s="39"/>
      <c r="C29" s="63"/>
      <c r="D29" s="63"/>
      <c r="E29" s="112"/>
      <c r="F29" s="358"/>
      <c r="G29" s="112"/>
      <c r="H29" s="94"/>
      <c r="I29" s="79" t="s">
        <v>371</v>
      </c>
      <c r="L29" s="112">
        <v>0.57</v>
      </c>
      <c r="M29" s="113"/>
      <c r="N29" s="79" t="s">
        <v>261</v>
      </c>
      <c r="P29" s="79">
        <f>1/(1+L29)</f>
        <v>0.6369426751592357</v>
      </c>
      <c r="Q29" s="53" t="s">
        <v>262</v>
      </c>
      <c r="S29" s="1"/>
      <c r="T29" s="319"/>
      <c r="U29" s="319"/>
      <c r="V29" s="319"/>
      <c r="W29" s="1"/>
      <c r="X29" s="79"/>
      <c r="Z29" s="318"/>
      <c r="AC29" s="71"/>
    </row>
    <row r="30" spans="1:29" s="53" customFormat="1" ht="15.75" outlineLevel="1">
      <c r="A30"/>
      <c r="B30" s="39"/>
      <c r="C30" s="63"/>
      <c r="D30" s="63"/>
      <c r="E30" s="112"/>
      <c r="F30" s="358"/>
      <c r="G30" s="112"/>
      <c r="H30" s="94"/>
      <c r="I30" s="79" t="s">
        <v>372</v>
      </c>
      <c r="L30" s="112">
        <v>0.61</v>
      </c>
      <c r="M30" s="113"/>
      <c r="N30" s="79" t="s">
        <v>261</v>
      </c>
      <c r="P30" s="79">
        <f>1/(1+L30)</f>
        <v>0.6211180124223603</v>
      </c>
      <c r="Q30" s="53" t="s">
        <v>262</v>
      </c>
      <c r="S30" s="1"/>
      <c r="T30" s="319"/>
      <c r="U30" s="319"/>
      <c r="V30" s="319"/>
      <c r="W30" s="1"/>
      <c r="X30" s="79"/>
      <c r="Z30" s="318"/>
      <c r="AC30" s="71"/>
    </row>
    <row r="31" spans="2:27" ht="12.75" outlineLevel="1">
      <c r="B31" s="39"/>
      <c r="C31" s="65"/>
      <c r="D31" s="114"/>
      <c r="E31" s="115"/>
      <c r="F31" s="70"/>
      <c r="G31" s="116"/>
      <c r="I31" s="113" t="s">
        <v>125</v>
      </c>
      <c r="O31" s="138"/>
      <c r="X31" t="s">
        <v>353</v>
      </c>
      <c r="Z31">
        <v>0.3</v>
      </c>
      <c r="AA31" t="s">
        <v>44</v>
      </c>
    </row>
    <row r="32" spans="9:28" ht="12.75" outlineLevel="1">
      <c r="I32" s="117"/>
      <c r="M32" s="1"/>
      <c r="N32" s="1"/>
      <c r="AB32" s="111"/>
    </row>
    <row r="33" spans="9:13" ht="12.75" outlineLevel="1">
      <c r="I33"/>
      <c r="L33" s="324">
        <v>0.5</v>
      </c>
      <c r="M33" t="s">
        <v>346</v>
      </c>
    </row>
    <row r="34" spans="12:21" ht="12.75" outlineLevel="1">
      <c r="L34" s="324">
        <v>0.34</v>
      </c>
      <c r="M34" t="s">
        <v>347</v>
      </c>
      <c r="U34" s="113"/>
    </row>
    <row r="35" ht="12.75" outlineLevel="1">
      <c r="I35" s="79"/>
    </row>
    <row r="36" spans="9:13" ht="12.75" outlineLevel="1">
      <c r="I36" s="79"/>
      <c r="M36" s="39"/>
    </row>
    <row r="37" ht="12.75" outlineLevel="1">
      <c r="M37" s="39"/>
    </row>
    <row r="38" ht="12.75" outlineLevel="1"/>
    <row r="39" ht="12.75" customHeight="1" outlineLevel="1">
      <c r="I39" s="113" t="s">
        <v>250</v>
      </c>
    </row>
    <row r="40" spans="9:29" ht="13.5" customHeight="1" outlineLevel="1">
      <c r="I40" s="427" t="s">
        <v>39</v>
      </c>
      <c r="J40" s="429" t="s">
        <v>40</v>
      </c>
      <c r="K40" s="429"/>
      <c r="L40" s="430"/>
      <c r="M40" s="430"/>
      <c r="N40" s="430"/>
      <c r="O40" s="430"/>
      <c r="P40" s="430"/>
      <c r="Q40" s="430"/>
      <c r="R40" s="430"/>
      <c r="S40" s="430"/>
      <c r="T40" s="430"/>
      <c r="U40" s="430"/>
      <c r="V40" s="430"/>
      <c r="W40" s="430"/>
      <c r="X40" s="430"/>
      <c r="Y40" s="430"/>
      <c r="Z40" s="430"/>
      <c r="AA40" s="430"/>
      <c r="AB40" s="430"/>
      <c r="AC40" s="431"/>
    </row>
    <row r="41" spans="9:29" ht="13.5" outlineLevel="1" thickBot="1">
      <c r="I41" s="428"/>
      <c r="J41" s="432"/>
      <c r="K41" s="432"/>
      <c r="L41" s="432"/>
      <c r="M41" s="432"/>
      <c r="N41" s="432"/>
      <c r="O41" s="432"/>
      <c r="P41" s="432"/>
      <c r="Q41" s="432"/>
      <c r="R41" s="432"/>
      <c r="S41" s="432"/>
      <c r="T41" s="432"/>
      <c r="U41" s="432"/>
      <c r="V41" s="432"/>
      <c r="W41" s="432"/>
      <c r="X41" s="432"/>
      <c r="Y41" s="432"/>
      <c r="Z41" s="432"/>
      <c r="AA41" s="432"/>
      <c r="AB41" s="433"/>
      <c r="AC41" s="434"/>
    </row>
    <row r="42" spans="9:29" ht="12.75" outlineLevel="1">
      <c r="I42" s="171" t="s">
        <v>46</v>
      </c>
      <c r="J42" s="152" t="str">
        <f aca="true" t="shared" si="11" ref="J42:AA42">J5</f>
        <v>+5V D</v>
      </c>
      <c r="K42" s="152" t="str">
        <f t="shared" si="11"/>
        <v> +1.8V D</v>
      </c>
      <c r="L42" s="152" t="str">
        <f t="shared" si="11"/>
        <v>+3.6D (1)</v>
      </c>
      <c r="M42" s="152" t="str">
        <f t="shared" si="11"/>
        <v>+5V A</v>
      </c>
      <c r="N42" s="152" t="str">
        <f t="shared" si="11"/>
        <v>-5V A</v>
      </c>
      <c r="O42" s="152" t="str">
        <f t="shared" si="11"/>
        <v>+10VA</v>
      </c>
      <c r="P42" s="152" t="str">
        <f t="shared" si="11"/>
        <v>-10VA</v>
      </c>
      <c r="Q42" s="152" t="str">
        <f t="shared" si="11"/>
        <v>+5V D</v>
      </c>
      <c r="R42" s="152" t="str">
        <f t="shared" si="11"/>
        <v>+10V A</v>
      </c>
      <c r="S42" s="152" t="str">
        <f t="shared" si="11"/>
        <v>-10V A</v>
      </c>
      <c r="T42" s="152" t="str">
        <f t="shared" si="11"/>
        <v>+225V</v>
      </c>
      <c r="U42" s="152" t="str">
        <f t="shared" si="11"/>
        <v>-225V</v>
      </c>
      <c r="V42" s="152" t="str">
        <f t="shared" si="11"/>
        <v>+/-15F1</v>
      </c>
      <c r="W42" s="152" t="str">
        <f t="shared" si="11"/>
        <v>+/-15F2</v>
      </c>
      <c r="X42" s="152" t="str">
        <f t="shared" si="11"/>
        <v>+/-15F3</v>
      </c>
      <c r="Y42" s="152" t="str">
        <f t="shared" si="11"/>
        <v>+/-15F4</v>
      </c>
      <c r="Z42" s="152" t="str">
        <f t="shared" si="11"/>
        <v>+/-10F5</v>
      </c>
      <c r="AA42" s="152" t="str">
        <f t="shared" si="11"/>
        <v>+/-15F6</v>
      </c>
      <c r="AB42" s="145" t="s">
        <v>62</v>
      </c>
      <c r="AC42" s="50" t="s">
        <v>63</v>
      </c>
    </row>
    <row r="43" spans="1:29" ht="15.75" outlineLevel="1">
      <c r="A43" s="72" t="s">
        <v>66</v>
      </c>
      <c r="I43" s="172"/>
      <c r="J43" s="426" t="s">
        <v>128</v>
      </c>
      <c r="K43" s="424"/>
      <c r="L43" s="424"/>
      <c r="M43" s="424"/>
      <c r="N43" s="424"/>
      <c r="O43" s="424"/>
      <c r="P43" s="424"/>
      <c r="Q43" s="426" t="s">
        <v>5</v>
      </c>
      <c r="R43" s="424"/>
      <c r="S43" s="424"/>
      <c r="T43" s="424"/>
      <c r="U43" s="424"/>
      <c r="V43" s="424"/>
      <c r="W43" s="424"/>
      <c r="X43" s="424"/>
      <c r="Y43" s="424"/>
      <c r="Z43" s="424"/>
      <c r="AA43" s="425"/>
      <c r="AB43" s="146"/>
      <c r="AC43" s="52"/>
    </row>
    <row r="44" spans="1:29" ht="12.75" outlineLevel="1">
      <c r="A44" s="64" t="s">
        <v>67</v>
      </c>
      <c r="I44" s="173">
        <f aca="true" t="shared" si="12" ref="I44:I49">J44*J$24+K44*K$24+L44*L$24+M44*M$24+N44*N$24+O44*O$24+P44*P$24+Q44*Q$24+R44*R$24+S44*S$24+T44*T$24+U44*U$24+V44*V$24+W44*W$24+X44*X$24+Y44*Y$24+Z44*Z$24+AA44*AA$24</f>
        <v>0.18</v>
      </c>
      <c r="J44" s="64"/>
      <c r="K44" s="56"/>
      <c r="L44" s="56"/>
      <c r="M44" s="56"/>
      <c r="N44" s="56"/>
      <c r="O44" s="56"/>
      <c r="P44" s="254"/>
      <c r="Q44" s="88"/>
      <c r="R44" s="86"/>
      <c r="S44" s="56"/>
      <c r="T44" s="56"/>
      <c r="U44" s="254"/>
      <c r="V44" s="142">
        <f>V7*1.5</f>
        <v>0.006</v>
      </c>
      <c r="W44" s="182"/>
      <c r="X44" s="182"/>
      <c r="Y44" s="182"/>
      <c r="Z44" s="182"/>
      <c r="AA44" s="183"/>
      <c r="AB44" s="147">
        <f>0.1</f>
        <v>0.1</v>
      </c>
      <c r="AC44" s="60">
        <v>2</v>
      </c>
    </row>
    <row r="45" spans="1:29" ht="12.75" outlineLevel="1">
      <c r="A45" s="64" t="s">
        <v>68</v>
      </c>
      <c r="I45" s="173">
        <f t="shared" si="12"/>
        <v>0.18</v>
      </c>
      <c r="J45" s="64"/>
      <c r="K45" s="56"/>
      <c r="L45" s="56"/>
      <c r="M45" s="56"/>
      <c r="N45" s="56"/>
      <c r="O45" s="56"/>
      <c r="P45" s="254"/>
      <c r="Q45" s="88"/>
      <c r="R45" s="56"/>
      <c r="S45" s="56"/>
      <c r="T45" s="56"/>
      <c r="U45" s="56"/>
      <c r="V45" s="261"/>
      <c r="W45" s="182">
        <f>W8*1.5</f>
        <v>0.006</v>
      </c>
      <c r="X45" s="182"/>
      <c r="Y45" s="182"/>
      <c r="Z45" s="182"/>
      <c r="AA45" s="183"/>
      <c r="AB45" s="147">
        <f>0.1</f>
        <v>0.1</v>
      </c>
      <c r="AC45" s="60">
        <v>2</v>
      </c>
    </row>
    <row r="46" spans="1:29" ht="12.75" outlineLevel="1">
      <c r="A46" s="64" t="s">
        <v>69</v>
      </c>
      <c r="I46" s="173">
        <f t="shared" si="12"/>
        <v>0.18</v>
      </c>
      <c r="J46" s="64"/>
      <c r="K46" s="56"/>
      <c r="L46" s="56"/>
      <c r="M46" s="56"/>
      <c r="N46" s="56"/>
      <c r="O46" s="56"/>
      <c r="P46" s="254"/>
      <c r="Q46" s="88"/>
      <c r="R46" s="56"/>
      <c r="S46" s="56"/>
      <c r="T46" s="56"/>
      <c r="U46" s="56"/>
      <c r="V46" s="182"/>
      <c r="W46" s="261"/>
      <c r="X46" s="182">
        <f>X9*1.5</f>
        <v>0.006</v>
      </c>
      <c r="Y46" s="182"/>
      <c r="Z46" s="182"/>
      <c r="AA46" s="183"/>
      <c r="AB46" s="147">
        <f>0.1</f>
        <v>0.1</v>
      </c>
      <c r="AC46" s="60">
        <v>2</v>
      </c>
    </row>
    <row r="47" spans="1:29" ht="12.75" outlineLevel="1">
      <c r="A47" s="64" t="s">
        <v>70</v>
      </c>
      <c r="I47" s="173">
        <f t="shared" si="12"/>
        <v>0.18</v>
      </c>
      <c r="J47" s="64"/>
      <c r="K47" s="56"/>
      <c r="L47" s="56"/>
      <c r="M47" s="56"/>
      <c r="N47" s="56"/>
      <c r="O47" s="56"/>
      <c r="P47" s="254"/>
      <c r="Q47" s="88"/>
      <c r="R47" s="56"/>
      <c r="S47" s="56"/>
      <c r="T47" s="56"/>
      <c r="U47" s="56"/>
      <c r="V47" s="182"/>
      <c r="W47" s="182"/>
      <c r="X47" s="261"/>
      <c r="Y47" s="182">
        <f>Y10*1.5</f>
        <v>0.006</v>
      </c>
      <c r="Z47" s="182"/>
      <c r="AA47" s="183"/>
      <c r="AB47" s="147">
        <f>0.1</f>
        <v>0.1</v>
      </c>
      <c r="AC47" s="60">
        <v>2</v>
      </c>
    </row>
    <row r="48" spans="1:29" ht="12.75" outlineLevel="1">
      <c r="A48" s="64" t="s">
        <v>71</v>
      </c>
      <c r="I48" s="173">
        <f t="shared" si="12"/>
        <v>0.18</v>
      </c>
      <c r="J48" s="64"/>
      <c r="K48" s="56"/>
      <c r="L48" s="56"/>
      <c r="M48" s="56"/>
      <c r="N48" s="56"/>
      <c r="O48" s="56"/>
      <c r="P48" s="254"/>
      <c r="Q48" s="88"/>
      <c r="R48" s="56"/>
      <c r="S48" s="56"/>
      <c r="T48" s="56"/>
      <c r="U48" s="56"/>
      <c r="V48" s="182"/>
      <c r="W48" s="182"/>
      <c r="X48" s="182"/>
      <c r="Y48" s="261"/>
      <c r="Z48" s="182">
        <f>Z11*1.5</f>
        <v>0.006</v>
      </c>
      <c r="AA48" s="183"/>
      <c r="AB48" s="147">
        <f>28/31</f>
        <v>0.9032258064516129</v>
      </c>
      <c r="AC48" s="60"/>
    </row>
    <row r="49" spans="1:29" ht="12.75" outlineLevel="1">
      <c r="A49" s="64" t="s">
        <v>72</v>
      </c>
      <c r="I49" s="173">
        <f t="shared" si="12"/>
        <v>0.18</v>
      </c>
      <c r="J49" s="64"/>
      <c r="K49" s="56"/>
      <c r="L49" s="56"/>
      <c r="M49" s="56"/>
      <c r="N49" s="56"/>
      <c r="O49" s="56"/>
      <c r="P49" s="254"/>
      <c r="Q49" s="88"/>
      <c r="R49" s="56"/>
      <c r="S49" s="56"/>
      <c r="T49" s="56"/>
      <c r="U49" s="56"/>
      <c r="V49" s="182"/>
      <c r="W49" s="182"/>
      <c r="X49" s="182"/>
      <c r="Y49" s="182"/>
      <c r="Z49" s="261"/>
      <c r="AA49" s="334">
        <f>AA12*1.5</f>
        <v>0.006</v>
      </c>
      <c r="AB49" s="147">
        <f>28/31</f>
        <v>0.9032258064516129</v>
      </c>
      <c r="AC49" s="60"/>
    </row>
    <row r="50" spans="1:29" ht="15.75" outlineLevel="1">
      <c r="A50" s="72" t="s">
        <v>73</v>
      </c>
      <c r="I50" s="174"/>
      <c r="J50" s="156"/>
      <c r="K50" s="51"/>
      <c r="L50" s="51"/>
      <c r="M50" s="51"/>
      <c r="N50" s="51"/>
      <c r="O50" s="51"/>
      <c r="P50" s="260"/>
      <c r="Q50" s="265"/>
      <c r="R50" s="51"/>
      <c r="S50" s="51"/>
      <c r="T50" s="51"/>
      <c r="U50" s="51"/>
      <c r="V50" s="335"/>
      <c r="W50" s="335"/>
      <c r="X50" s="335"/>
      <c r="Y50" s="335"/>
      <c r="Z50" s="335"/>
      <c r="AA50" s="336"/>
      <c r="AB50" s="146"/>
      <c r="AC50" s="52"/>
    </row>
    <row r="51" spans="1:31" ht="12.75" outlineLevel="1">
      <c r="A51" s="64" t="s">
        <v>361</v>
      </c>
      <c r="I51" s="173">
        <f>J51*J$24+K51*K$24+L51*L$24+M51*M$24+N51*N$24+O51*O$24+P51*P$24+Q51*Q$24+R51*R$24+S51*S$24+T51*T$24+U51*U$24+V51*V$24+W51*W$24+X51*X$24+Y51*Y$24+Z51*Z$24+AA51*AA$24</f>
        <v>2.539</v>
      </c>
      <c r="J51" s="267">
        <v>0.011</v>
      </c>
      <c r="K51" s="341">
        <f>DFB_Max_2008_07_07!T33/1000</f>
        <v>0.38</v>
      </c>
      <c r="L51" s="142">
        <v>0.125</v>
      </c>
      <c r="M51" s="341">
        <f>0.082</f>
        <v>0.082</v>
      </c>
      <c r="N51" s="341">
        <f>0.102</f>
        <v>0.102</v>
      </c>
      <c r="O51" s="142">
        <f>0.027</f>
        <v>0.027</v>
      </c>
      <c r="P51" s="341">
        <f>0.016</f>
        <v>0.016</v>
      </c>
      <c r="Q51" s="275"/>
      <c r="R51" s="143"/>
      <c r="S51" s="143"/>
      <c r="T51" s="57"/>
      <c r="U51" s="57"/>
      <c r="V51" s="57"/>
      <c r="W51" s="57"/>
      <c r="X51" s="57"/>
      <c r="Y51" s="57"/>
      <c r="Z51" s="57"/>
      <c r="AA51" s="155"/>
      <c r="AB51" s="148"/>
      <c r="AC51" s="58"/>
      <c r="AE51" s="367" t="s">
        <v>363</v>
      </c>
    </row>
    <row r="52" spans="1:31" ht="12.75" outlineLevel="1">
      <c r="A52" s="64" t="s">
        <v>75</v>
      </c>
      <c r="I52" s="173">
        <f>J52*J$24+K52*K$24+L52*L$24+M52*M$24+N52*N$24+O52*O$24+P52*P$24+Q52*Q$24+R52*R$24+S52*S$24+T52*T$24/2+U52*U$24/2+V52*V$24+W52*W$24+X52*X$24+Y52*Y$24+Z52*Z$24+AA52*AA$24</f>
        <v>3.1637500000000003</v>
      </c>
      <c r="J52" s="250"/>
      <c r="K52" s="251"/>
      <c r="L52" s="57"/>
      <c r="M52" s="144"/>
      <c r="N52" s="144"/>
      <c r="O52" s="182"/>
      <c r="P52" s="261"/>
      <c r="Q52" s="267">
        <f>Q15*1.5</f>
        <v>0.0045000000000000005</v>
      </c>
      <c r="R52" s="261">
        <v>0.063</v>
      </c>
      <c r="S52" s="182">
        <v>0.061</v>
      </c>
      <c r="T52" s="333">
        <v>0.00557</v>
      </c>
      <c r="U52" s="333">
        <v>0.00557</v>
      </c>
      <c r="V52" s="182">
        <f aca="true" t="shared" si="13" ref="V52:AA52">0.0036</f>
        <v>0.0036</v>
      </c>
      <c r="W52" s="182">
        <f t="shared" si="13"/>
        <v>0.0036</v>
      </c>
      <c r="X52" s="182">
        <f t="shared" si="13"/>
        <v>0.0036</v>
      </c>
      <c r="Y52" s="182">
        <f t="shared" si="13"/>
        <v>0.0036</v>
      </c>
      <c r="Z52" s="182">
        <f t="shared" si="13"/>
        <v>0.0036</v>
      </c>
      <c r="AA52" s="182">
        <f t="shared" si="13"/>
        <v>0.0036</v>
      </c>
      <c r="AB52" s="148"/>
      <c r="AC52" s="58"/>
      <c r="AD52" t="s">
        <v>351</v>
      </c>
      <c r="AE52" s="368" t="s">
        <v>259</v>
      </c>
    </row>
    <row r="53" spans="1:31" ht="12.75" outlineLevel="1">
      <c r="A53" s="64" t="s">
        <v>76</v>
      </c>
      <c r="I53" s="173">
        <f>J53*J$24+K53*K$24+L53*L$24+M53*M$24+N53*N$24+O53*O$24+P53*P$24+Q53*Q$24+R53*R$24+S53*S$24+T53*T$24+U53*U$24+V53*V$24+W53*W$24+X53*X$24+Y53*Y$24+Z53*Z$24+AA53*AA$24</f>
        <v>0.73125</v>
      </c>
      <c r="J53" s="159"/>
      <c r="K53" s="57"/>
      <c r="L53" s="144"/>
      <c r="M53" s="253">
        <f>M16*1.5</f>
        <v>0.00375</v>
      </c>
      <c r="N53" s="253">
        <f>N16*1.5</f>
        <v>0.0075</v>
      </c>
      <c r="O53" s="251">
        <f>O16*1.5</f>
        <v>0.037500000000000006</v>
      </c>
      <c r="P53" s="253">
        <f>P16*1.5</f>
        <v>0.03</v>
      </c>
      <c r="Q53" s="250"/>
      <c r="R53" s="143"/>
      <c r="S53" s="143"/>
      <c r="T53" s="57"/>
      <c r="U53" s="57"/>
      <c r="V53" s="57"/>
      <c r="W53" s="57"/>
      <c r="X53" s="57"/>
      <c r="Y53" s="57"/>
      <c r="Z53" s="57"/>
      <c r="AA53" s="155"/>
      <c r="AB53" s="148"/>
      <c r="AC53" s="58"/>
      <c r="AE53" s="369" t="s">
        <v>349</v>
      </c>
    </row>
    <row r="54" spans="1:31" ht="12.75" outlineLevel="1">
      <c r="A54" s="64" t="s">
        <v>85</v>
      </c>
      <c r="I54" s="173">
        <f>J54*J$24+K54*K$24+L54*L$24+M54*M$24+N54*N$24+O54*O$24+P54*P$24+Q54*Q$24+R54*R$24+S54*S$24+T54*T$24+U54*U$24+V54*V$24+W54*W$24+X54*X$24+Y54*Y$24+Z54*Z$24+AA54*AA$24</f>
        <v>0.14400000000000002</v>
      </c>
      <c r="J54" s="159"/>
      <c r="K54" s="57"/>
      <c r="L54" s="143">
        <f>DCB_2008_08_18!G10/1000</f>
        <v>0.04</v>
      </c>
      <c r="M54" s="144"/>
      <c r="N54" s="144"/>
      <c r="O54" s="57"/>
      <c r="P54" s="144"/>
      <c r="Q54" s="266"/>
      <c r="R54" s="57"/>
      <c r="S54" s="57"/>
      <c r="T54" s="57"/>
      <c r="U54" s="57"/>
      <c r="V54" s="57"/>
      <c r="W54" s="57"/>
      <c r="X54" s="57"/>
      <c r="Y54" s="57"/>
      <c r="Z54" s="57"/>
      <c r="AA54" s="155"/>
      <c r="AB54" s="148"/>
      <c r="AC54" s="58"/>
      <c r="AE54" s="370"/>
    </row>
    <row r="55" spans="1:31" ht="12.75" outlineLevel="1">
      <c r="A55" s="64" t="s">
        <v>77</v>
      </c>
      <c r="I55" s="173">
        <f>J55*J$24+K55*K$24+L55*L$24+M55*M$24+N55*N$24+O55*O$24+P55*P$24+Q55*Q$24+R55*R$24+S55*S$24+T55*T$24+U55*U$24+V55*V$24+W55*W$24+X55*X$24+Y55*Y$24+Z55*Z$24+AA55*AA$24</f>
        <v>2.490568410181819</v>
      </c>
      <c r="J55" s="337">
        <f>J18*1.5</f>
        <v>0.0066</v>
      </c>
      <c r="K55" s="182">
        <f>DCB_2008_08_18!G24/1000</f>
        <v>0.3732</v>
      </c>
      <c r="L55" s="182">
        <f>DCB_2008_08_18!G23/1000</f>
        <v>0.3911967806060606</v>
      </c>
      <c r="M55" s="261">
        <f>M18</f>
        <v>0.0165</v>
      </c>
      <c r="N55" s="338">
        <f>N18</f>
        <v>0.011000000000000001</v>
      </c>
      <c r="O55" s="339">
        <f>0.012</f>
        <v>0.012</v>
      </c>
      <c r="P55" s="338">
        <f>0.012</f>
        <v>0.012</v>
      </c>
      <c r="Q55" s="250"/>
      <c r="R55" s="57"/>
      <c r="S55" s="57"/>
      <c r="T55" s="57"/>
      <c r="U55" s="57"/>
      <c r="V55" s="57"/>
      <c r="W55" s="57"/>
      <c r="X55" s="57"/>
      <c r="Y55" s="57"/>
      <c r="Z55" s="57"/>
      <c r="AA55" s="155"/>
      <c r="AB55" s="148"/>
      <c r="AC55" s="58"/>
      <c r="AE55" s="367" t="s">
        <v>362</v>
      </c>
    </row>
    <row r="56" spans="1:31" ht="12.75" outlineLevel="1">
      <c r="A56" s="80" t="s">
        <v>78</v>
      </c>
      <c r="I56" s="173">
        <f>J56*J$24+K56*K$24+L56*L$24+M56*M$24+N56*N$24+O56*O$24+P56*P$24+Q56*Q$24+R56*R$24+S56*S$24+T56*T$24/2+U56*U$24/2+V56*V$24+W56*W$24+X56*X$24+Y56*Y$24+Z56*Z$24+AA56*AA$24</f>
        <v>5.3918000960490895</v>
      </c>
      <c r="J56" s="340">
        <f aca="true" t="shared" si="14" ref="J56:S56">SUM(J43:J55)*$L$27</f>
        <v>0.009592</v>
      </c>
      <c r="K56" s="272">
        <f t="shared" si="14"/>
        <v>0.410494</v>
      </c>
      <c r="L56" s="142">
        <f t="shared" si="14"/>
        <v>0.30312724543030306</v>
      </c>
      <c r="M56" s="142">
        <f t="shared" si="14"/>
        <v>0.055726250000000005</v>
      </c>
      <c r="N56" s="142">
        <f t="shared" si="14"/>
        <v>0.0656725</v>
      </c>
      <c r="O56" s="142">
        <f t="shared" si="14"/>
        <v>0.0416925</v>
      </c>
      <c r="P56" s="341">
        <f t="shared" si="14"/>
        <v>0.03161</v>
      </c>
      <c r="Q56" s="271">
        <f t="shared" si="14"/>
        <v>0.0024525000000000003</v>
      </c>
      <c r="R56" s="207">
        <f t="shared" si="14"/>
        <v>0.034335000000000004</v>
      </c>
      <c r="S56" s="207">
        <f t="shared" si="14"/>
        <v>0.033245000000000004</v>
      </c>
      <c r="T56" s="327">
        <f>(SUM(T44:T55)*$W$27+$Z$31/T58+T19)/2</f>
        <v>0.0025021874999999996</v>
      </c>
      <c r="U56" s="327">
        <f>(SUM(U44:U55)*$W$27+$Z$31/U58+U19)/2</f>
        <v>0.0023320486111111107</v>
      </c>
      <c r="V56" s="207">
        <f aca="true" t="shared" si="15" ref="V56:AA56">SUM(V43:V55)*$L$27</f>
        <v>0.0052320000000000005</v>
      </c>
      <c r="W56" s="207">
        <f t="shared" si="15"/>
        <v>0.0052320000000000005</v>
      </c>
      <c r="X56" s="207">
        <f t="shared" si="15"/>
        <v>0.0052320000000000005</v>
      </c>
      <c r="Y56" s="207">
        <f t="shared" si="15"/>
        <v>0.0052320000000000005</v>
      </c>
      <c r="Z56" s="207">
        <f t="shared" si="15"/>
        <v>0.0052320000000000005</v>
      </c>
      <c r="AA56" s="274">
        <f t="shared" si="15"/>
        <v>0.0052320000000000005</v>
      </c>
      <c r="AB56" s="149"/>
      <c r="AC56" s="87"/>
      <c r="AE56" s="370" t="s">
        <v>354</v>
      </c>
    </row>
    <row r="57" spans="9:29" ht="12.75" outlineLevel="1">
      <c r="I57" s="175"/>
      <c r="J57" s="162"/>
      <c r="K57" s="89"/>
      <c r="L57" s="89"/>
      <c r="M57" s="89"/>
      <c r="N57" s="89"/>
      <c r="O57" s="89"/>
      <c r="P57" s="89"/>
      <c r="Q57" s="162"/>
      <c r="R57" s="257"/>
      <c r="S57" s="89"/>
      <c r="T57" s="89"/>
      <c r="U57" s="89"/>
      <c r="V57" s="89"/>
      <c r="W57" s="89"/>
      <c r="X57" s="89"/>
      <c r="Y57" s="89"/>
      <c r="Z57" s="89"/>
      <c r="AA57" s="163"/>
      <c r="AB57" s="90"/>
      <c r="AC57" s="90"/>
    </row>
    <row r="58" spans="9:30" ht="15">
      <c r="I58" s="176">
        <f>SUM(I43:I49)+SUM(I51:I56)</f>
        <v>15.540368506230907</v>
      </c>
      <c r="J58" s="164">
        <f aca="true" t="shared" si="16" ref="J58:AA58">J24</f>
        <v>5</v>
      </c>
      <c r="K58" s="97">
        <f t="shared" si="16"/>
        <v>1.8</v>
      </c>
      <c r="L58" s="97">
        <f t="shared" si="16"/>
        <v>3.6</v>
      </c>
      <c r="M58" s="97">
        <f t="shared" si="16"/>
        <v>5</v>
      </c>
      <c r="N58" s="97">
        <f t="shared" si="16"/>
        <v>5</v>
      </c>
      <c r="O58" s="97">
        <f t="shared" si="16"/>
        <v>10</v>
      </c>
      <c r="P58" s="262">
        <f t="shared" si="16"/>
        <v>10</v>
      </c>
      <c r="Q58" s="164">
        <f t="shared" si="16"/>
        <v>5</v>
      </c>
      <c r="R58" s="97">
        <f t="shared" si="16"/>
        <v>10</v>
      </c>
      <c r="S58" s="97">
        <f t="shared" si="16"/>
        <v>10</v>
      </c>
      <c r="T58" s="97">
        <f t="shared" si="16"/>
        <v>225</v>
      </c>
      <c r="U58" s="97">
        <f t="shared" si="16"/>
        <v>225</v>
      </c>
      <c r="V58" s="97">
        <f t="shared" si="16"/>
        <v>30</v>
      </c>
      <c r="W58" s="97">
        <f t="shared" si="16"/>
        <v>30</v>
      </c>
      <c r="X58" s="97">
        <f t="shared" si="16"/>
        <v>30</v>
      </c>
      <c r="Y58" s="97">
        <f t="shared" si="16"/>
        <v>30</v>
      </c>
      <c r="Z58" s="97">
        <f t="shared" si="16"/>
        <v>30</v>
      </c>
      <c r="AA58" s="165">
        <f t="shared" si="16"/>
        <v>30</v>
      </c>
      <c r="AB58" s="150" t="s">
        <v>80</v>
      </c>
      <c r="AC58" s="99"/>
      <c r="AD58" t="s">
        <v>352</v>
      </c>
    </row>
    <row r="59" spans="9:29" ht="15">
      <c r="I59" s="177" t="s">
        <v>252</v>
      </c>
      <c r="J59" s="166">
        <f aca="true" t="shared" si="17" ref="J59:AA59">SUM(J43:J49)+SUM(J51:J55)</f>
        <v>0.017599999999999998</v>
      </c>
      <c r="K59" s="104">
        <f t="shared" si="17"/>
        <v>0.7532</v>
      </c>
      <c r="L59" s="104">
        <f t="shared" si="17"/>
        <v>0.5561967806060606</v>
      </c>
      <c r="M59" s="104">
        <f t="shared" si="17"/>
        <v>0.10225000000000001</v>
      </c>
      <c r="N59" s="104">
        <f t="shared" si="17"/>
        <v>0.12049999999999998</v>
      </c>
      <c r="O59" s="104">
        <f t="shared" si="17"/>
        <v>0.0765</v>
      </c>
      <c r="P59" s="116">
        <f t="shared" si="17"/>
        <v>0.057999999999999996</v>
      </c>
      <c r="Q59" s="166">
        <f t="shared" si="17"/>
        <v>0.0045000000000000005</v>
      </c>
      <c r="R59" s="258">
        <f t="shared" si="17"/>
        <v>0.063</v>
      </c>
      <c r="S59" s="104">
        <f t="shared" si="17"/>
        <v>0.061</v>
      </c>
      <c r="T59" s="328">
        <f t="shared" si="17"/>
        <v>0.00557</v>
      </c>
      <c r="U59" s="328">
        <f t="shared" si="17"/>
        <v>0.00557</v>
      </c>
      <c r="V59" s="104">
        <f t="shared" si="17"/>
        <v>0.009600000000000001</v>
      </c>
      <c r="W59" s="104">
        <f t="shared" si="17"/>
        <v>0.009600000000000001</v>
      </c>
      <c r="X59" s="104">
        <f t="shared" si="17"/>
        <v>0.009600000000000001</v>
      </c>
      <c r="Y59" s="104">
        <f t="shared" si="17"/>
        <v>0.009600000000000001</v>
      </c>
      <c r="Z59" s="104">
        <f t="shared" si="17"/>
        <v>0.009600000000000001</v>
      </c>
      <c r="AA59" s="167">
        <f t="shared" si="17"/>
        <v>0.009600000000000001</v>
      </c>
      <c r="AB59" s="150" t="s">
        <v>81</v>
      </c>
      <c r="AC59" s="99"/>
    </row>
    <row r="60" spans="9:29" ht="15.75" thickBot="1">
      <c r="I60" s="178"/>
      <c r="J60" s="168">
        <f aca="true" t="shared" si="18" ref="J60:AA60">J58*J59</f>
        <v>0.088</v>
      </c>
      <c r="K60" s="181">
        <f t="shared" si="18"/>
        <v>1.35576</v>
      </c>
      <c r="L60" s="169">
        <f t="shared" si="18"/>
        <v>2.002308410181818</v>
      </c>
      <c r="M60" s="169">
        <f t="shared" si="18"/>
        <v>0.51125</v>
      </c>
      <c r="N60" s="169">
        <f t="shared" si="18"/>
        <v>0.6024999999999999</v>
      </c>
      <c r="O60" s="169">
        <f t="shared" si="18"/>
        <v>0.765</v>
      </c>
      <c r="P60" s="263">
        <f t="shared" si="18"/>
        <v>0.58</v>
      </c>
      <c r="Q60" s="168">
        <f t="shared" si="18"/>
        <v>0.022500000000000003</v>
      </c>
      <c r="R60" s="169">
        <f t="shared" si="18"/>
        <v>0.63</v>
      </c>
      <c r="S60" s="169">
        <f t="shared" si="18"/>
        <v>0.61</v>
      </c>
      <c r="T60" s="169">
        <f t="shared" si="18"/>
        <v>1.25325</v>
      </c>
      <c r="U60" s="169">
        <f t="shared" si="18"/>
        <v>1.25325</v>
      </c>
      <c r="V60" s="169">
        <f t="shared" si="18"/>
        <v>0.28800000000000003</v>
      </c>
      <c r="W60" s="169">
        <f t="shared" si="18"/>
        <v>0.28800000000000003</v>
      </c>
      <c r="X60" s="169">
        <f t="shared" si="18"/>
        <v>0.28800000000000003</v>
      </c>
      <c r="Y60" s="169">
        <f t="shared" si="18"/>
        <v>0.28800000000000003</v>
      </c>
      <c r="Z60" s="169">
        <f t="shared" si="18"/>
        <v>0.28800000000000003</v>
      </c>
      <c r="AA60" s="170">
        <f t="shared" si="18"/>
        <v>0.28800000000000003</v>
      </c>
      <c r="AB60" s="151" t="s">
        <v>4</v>
      </c>
      <c r="AC60" s="110"/>
    </row>
    <row r="61" spans="9:17" ht="15">
      <c r="I61" s="79" t="s">
        <v>369</v>
      </c>
      <c r="J61" s="53"/>
      <c r="K61" s="53"/>
      <c r="L61" s="112">
        <v>0.62</v>
      </c>
      <c r="M61" s="113"/>
      <c r="N61" s="79" t="s">
        <v>261</v>
      </c>
      <c r="O61" s="53"/>
      <c r="P61" s="79">
        <f>1/(1+L61)</f>
        <v>0.6172839506172839</v>
      </c>
      <c r="Q61" s="53" t="s">
        <v>262</v>
      </c>
    </row>
    <row r="62" spans="9:17" ht="15">
      <c r="I62" s="79" t="s">
        <v>370</v>
      </c>
      <c r="J62" s="53"/>
      <c r="K62" s="53"/>
      <c r="L62" s="112">
        <v>0.61</v>
      </c>
      <c r="M62" s="113"/>
      <c r="N62" s="79" t="s">
        <v>261</v>
      </c>
      <c r="O62" s="53"/>
      <c r="P62" s="79">
        <f>1/(1+L62)</f>
        <v>0.6211180124223603</v>
      </c>
      <c r="Q62" s="53" t="s">
        <v>262</v>
      </c>
    </row>
    <row r="63" spans="9:17" ht="15">
      <c r="I63" s="79" t="s">
        <v>371</v>
      </c>
      <c r="J63" s="53"/>
      <c r="K63" s="53"/>
      <c r="L63" s="112">
        <v>0.66</v>
      </c>
      <c r="M63" s="113"/>
      <c r="N63" s="79" t="s">
        <v>261</v>
      </c>
      <c r="O63" s="53"/>
      <c r="P63" s="79">
        <f>1/(1+L63)</f>
        <v>0.6024096385542168</v>
      </c>
      <c r="Q63" s="53" t="s">
        <v>262</v>
      </c>
    </row>
    <row r="64" spans="9:17" ht="15">
      <c r="I64" s="79" t="s">
        <v>372</v>
      </c>
      <c r="J64" s="53"/>
      <c r="K64" s="53"/>
      <c r="L64" s="112">
        <v>0.67</v>
      </c>
      <c r="M64" s="113"/>
      <c r="N64" s="79" t="s">
        <v>261</v>
      </c>
      <c r="O64" s="53"/>
      <c r="P64" s="79">
        <f>1/(1+L64)</f>
        <v>0.5988023952095809</v>
      </c>
      <c r="Q64" s="53" t="s">
        <v>262</v>
      </c>
    </row>
    <row r="70" spans="1:8" ht="25.5">
      <c r="A70" s="133" t="s">
        <v>107</v>
      </c>
      <c r="B70" s="134" t="s">
        <v>108</v>
      </c>
      <c r="C70" s="134" t="s">
        <v>112</v>
      </c>
      <c r="D70" s="418" t="s">
        <v>101</v>
      </c>
      <c r="E70" s="390"/>
      <c r="F70" s="390"/>
      <c r="G70" s="390"/>
      <c r="H70" s="390"/>
    </row>
    <row r="71" spans="1:8" ht="12.75">
      <c r="A71" s="20" t="s">
        <v>96</v>
      </c>
      <c r="B71" s="21">
        <f>G24</f>
        <v>11.1583875</v>
      </c>
      <c r="C71" s="131">
        <f>G25/B76</f>
        <v>1.0533181818181818</v>
      </c>
      <c r="D71" s="450" t="s">
        <v>253</v>
      </c>
      <c r="E71" s="450"/>
      <c r="F71" s="450"/>
      <c r="G71" s="450"/>
      <c r="H71" s="450"/>
    </row>
    <row r="72" spans="1:8" ht="12.75">
      <c r="A72" s="132" t="s">
        <v>313</v>
      </c>
      <c r="B72" s="21">
        <v>10</v>
      </c>
      <c r="C72" s="131">
        <f>35/F82</f>
        <v>0.2857142857142857</v>
      </c>
      <c r="D72" s="449" t="s">
        <v>333</v>
      </c>
      <c r="E72" s="450"/>
      <c r="F72" s="450"/>
      <c r="G72" s="450"/>
      <c r="H72" s="450"/>
    </row>
    <row r="73" spans="1:8" ht="12.75">
      <c r="A73" s="132" t="s">
        <v>99</v>
      </c>
      <c r="B73" s="21">
        <f>C81*B77</f>
        <v>11.804545454545453</v>
      </c>
      <c r="C73" s="21">
        <f>MAX(C80,C83)</f>
        <v>1.9125683060109289</v>
      </c>
      <c r="D73" s="449" t="s">
        <v>115</v>
      </c>
      <c r="E73" s="450"/>
      <c r="F73" s="450"/>
      <c r="G73" s="450"/>
      <c r="H73" s="450"/>
    </row>
    <row r="74" spans="1:8" ht="12.75">
      <c r="A74" s="132" t="s">
        <v>100</v>
      </c>
      <c r="B74" s="21">
        <f>C81*B77</f>
        <v>11.804545454545453</v>
      </c>
      <c r="C74" s="21">
        <f>MAX(C79,C82,C83)</f>
        <v>2.2580645161290325</v>
      </c>
      <c r="D74" s="449" t="s">
        <v>116</v>
      </c>
      <c r="E74" s="450"/>
      <c r="F74" s="450"/>
      <c r="G74" s="450"/>
      <c r="H74" s="450"/>
    </row>
    <row r="76" spans="1:3" ht="12.75">
      <c r="A76" s="113" t="s">
        <v>103</v>
      </c>
      <c r="B76" s="39">
        <v>22</v>
      </c>
      <c r="C76" s="79" t="s">
        <v>105</v>
      </c>
    </row>
    <row r="77" spans="1:3" ht="12.75">
      <c r="A77" s="113" t="s">
        <v>104</v>
      </c>
      <c r="B77">
        <v>35</v>
      </c>
      <c r="C77" t="s">
        <v>105</v>
      </c>
    </row>
    <row r="78" spans="1:3" ht="12.75">
      <c r="A78" s="113"/>
      <c r="C78"/>
    </row>
    <row r="79" spans="1:7" ht="12.75">
      <c r="A79" t="s">
        <v>273</v>
      </c>
      <c r="B79" s="2"/>
      <c r="C79" s="130">
        <f>2*B77/F79</f>
        <v>2.2580645161290325</v>
      </c>
      <c r="D79" s="127" t="s">
        <v>111</v>
      </c>
      <c r="F79" s="129">
        <v>31</v>
      </c>
      <c r="G79" s="113" t="s">
        <v>102</v>
      </c>
    </row>
    <row r="80" spans="1:7" ht="12.75">
      <c r="A80" s="79" t="s">
        <v>271</v>
      </c>
      <c r="B80" s="2"/>
      <c r="C80" s="128">
        <f>B77/F80</f>
        <v>1.9125683060109289</v>
      </c>
      <c r="D80" s="127" t="s">
        <v>111</v>
      </c>
      <c r="E80" s="113"/>
      <c r="F80" s="129">
        <f>36.6/2</f>
        <v>18.3</v>
      </c>
      <c r="G80" s="113" t="s">
        <v>102</v>
      </c>
    </row>
    <row r="81" spans="1:7" ht="12.75">
      <c r="A81" s="79" t="s">
        <v>109</v>
      </c>
      <c r="B81" s="124"/>
      <c r="C81" s="128">
        <f>B77/F81</f>
        <v>0.3372727272727272</v>
      </c>
      <c r="D81" s="127" t="s">
        <v>111</v>
      </c>
      <c r="E81" s="113"/>
      <c r="F81" s="126">
        <f>22/0.212</f>
        <v>103.77358490566039</v>
      </c>
      <c r="G81" s="113" t="s">
        <v>102</v>
      </c>
    </row>
    <row r="82" spans="1:7" ht="12.75">
      <c r="A82" s="79" t="s">
        <v>314</v>
      </c>
      <c r="C82" s="125">
        <f>B77/F82</f>
        <v>0.2857142857142857</v>
      </c>
      <c r="D82" s="127" t="s">
        <v>111</v>
      </c>
      <c r="E82" s="113"/>
      <c r="F82" s="126">
        <f>(B77*B77)/B72</f>
        <v>122.5</v>
      </c>
      <c r="G82" s="113" t="s">
        <v>102</v>
      </c>
    </row>
    <row r="83" spans="1:4" ht="12.75">
      <c r="A83" s="79" t="s">
        <v>272</v>
      </c>
      <c r="C83" s="284">
        <v>1.5</v>
      </c>
      <c r="D83" s="285" t="s">
        <v>312</v>
      </c>
    </row>
    <row r="84" ht="12.75">
      <c r="D84" s="285" t="s">
        <v>373</v>
      </c>
    </row>
  </sheetData>
  <mergeCells count="16">
    <mergeCell ref="D74:H74"/>
    <mergeCell ref="D70:H70"/>
    <mergeCell ref="D71:H71"/>
    <mergeCell ref="D72:H72"/>
    <mergeCell ref="D73:H73"/>
    <mergeCell ref="A3:A5"/>
    <mergeCell ref="E3:G4"/>
    <mergeCell ref="B3:D4"/>
    <mergeCell ref="J3:AC4"/>
    <mergeCell ref="I3:I4"/>
    <mergeCell ref="Q6:AA6"/>
    <mergeCell ref="Q43:AA43"/>
    <mergeCell ref="I40:I41"/>
    <mergeCell ref="J40:AC41"/>
    <mergeCell ref="J43:P43"/>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0.xml><?xml version="1.0" encoding="utf-8"?>
<worksheet xmlns="http://schemas.openxmlformats.org/spreadsheetml/2006/main" xmlns:r="http://schemas.openxmlformats.org/officeDocument/2006/relationships">
  <sheetPr>
    <outlinePr summaryBelow="0"/>
    <pageSetUpPr fitToPage="1"/>
  </sheetPr>
  <dimension ref="A1:AC60"/>
  <sheetViews>
    <sheetView zoomScaleSheetLayoutView="100" workbookViewId="0" topLeftCell="D4">
      <selection activeCell="E13" sqref="E13"/>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259" t="s">
        <v>131</v>
      </c>
      <c r="Q5" s="264" t="s">
        <v>47</v>
      </c>
      <c r="R5" s="153" t="s">
        <v>53</v>
      </c>
      <c r="S5" s="153" t="s">
        <v>54</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20">(G6-E6)/E6</f>
        <v>0.24999999999999986</v>
      </c>
      <c r="G6" s="121">
        <f>SUM(G7:G12)</f>
        <v>0.6</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30" t="s">
        <v>65</v>
      </c>
      <c r="D7" s="59">
        <f t="shared" si="0"/>
        <v>0.25</v>
      </c>
      <c r="E7" s="67">
        <f aca="true" t="shared" si="2" ref="E7:E12">I7</f>
        <v>0.08</v>
      </c>
      <c r="F7" s="68">
        <f t="shared" si="1"/>
        <v>0.25000000000000006</v>
      </c>
      <c r="G7" s="118">
        <f aca="true" t="shared" si="3" ref="G7:G12">E7*(1+D7)</f>
        <v>0.1</v>
      </c>
      <c r="H7" s="70"/>
      <c r="I7" s="173">
        <f aca="true" t="shared" si="4" ref="I7:I12">J7*J$22+K7*K$22+L7*L$22+M7*M$22+N7*N$22+O7*O$22+P7*P$22+Q7*Q$22+R7*R$22+S7*S$22+T7*T$22+U7*U$22+V7*V$22+W7*W$22+X7*X$22+Y7*Y$22+Z7*Z$22+AA7*AA$22</f>
        <v>0.08</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30" t="s">
        <v>65</v>
      </c>
      <c r="D8" s="59">
        <f t="shared" si="0"/>
        <v>0.25</v>
      </c>
      <c r="E8" s="67">
        <f t="shared" si="2"/>
        <v>0.08</v>
      </c>
      <c r="F8" s="68">
        <f t="shared" si="1"/>
        <v>0.25000000000000006</v>
      </c>
      <c r="G8" s="118">
        <f t="shared" si="3"/>
        <v>0.1</v>
      </c>
      <c r="H8" s="70"/>
      <c r="I8" s="173">
        <f t="shared" si="4"/>
        <v>0.08</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30" t="s">
        <v>65</v>
      </c>
      <c r="D9" s="59">
        <f t="shared" si="0"/>
        <v>0.25</v>
      </c>
      <c r="E9" s="67">
        <f t="shared" si="2"/>
        <v>0.08</v>
      </c>
      <c r="F9" s="68">
        <f t="shared" si="1"/>
        <v>0.25000000000000006</v>
      </c>
      <c r="G9" s="118">
        <f t="shared" si="3"/>
        <v>0.1</v>
      </c>
      <c r="H9" s="70"/>
      <c r="I9" s="173">
        <f t="shared" si="4"/>
        <v>0.08</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30" t="s">
        <v>65</v>
      </c>
      <c r="D10" s="59">
        <f t="shared" si="0"/>
        <v>0.25</v>
      </c>
      <c r="E10" s="67">
        <f t="shared" si="2"/>
        <v>0.08</v>
      </c>
      <c r="F10" s="68">
        <f t="shared" si="1"/>
        <v>0.25000000000000006</v>
      </c>
      <c r="G10" s="118">
        <f t="shared" si="3"/>
        <v>0.1</v>
      </c>
      <c r="H10" s="70"/>
      <c r="I10" s="173">
        <f t="shared" si="4"/>
        <v>0.08</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30" t="s">
        <v>65</v>
      </c>
      <c r="D11" s="59">
        <f t="shared" si="0"/>
        <v>0.25</v>
      </c>
      <c r="E11" s="67">
        <f t="shared" si="2"/>
        <v>0.08</v>
      </c>
      <c r="F11" s="68">
        <f t="shared" si="1"/>
        <v>0.25000000000000006</v>
      </c>
      <c r="G11" s="118">
        <f t="shared" si="3"/>
        <v>0.1</v>
      </c>
      <c r="H11" s="70"/>
      <c r="I11" s="173">
        <f t="shared" si="4"/>
        <v>0.08</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30" t="s">
        <v>65</v>
      </c>
      <c r="D12" s="59">
        <f t="shared" si="0"/>
        <v>0.25</v>
      </c>
      <c r="E12" s="67">
        <f t="shared" si="2"/>
        <v>0.08</v>
      </c>
      <c r="F12" s="68">
        <f t="shared" si="1"/>
        <v>0.25000000000000006</v>
      </c>
      <c r="G12" s="118">
        <f t="shared" si="3"/>
        <v>0.1</v>
      </c>
      <c r="H12" s="70"/>
      <c r="I12" s="173">
        <f t="shared" si="4"/>
        <v>0.08</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7.36929706269091</v>
      </c>
      <c r="F13" s="120">
        <f t="shared" si="1"/>
        <v>0.25000000000000006</v>
      </c>
      <c r="G13" s="121">
        <f>SUM(G14:G20)</f>
        <v>9.211621328363638</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65</v>
      </c>
      <c r="D14" s="77">
        <f t="shared" si="0"/>
        <v>0.25</v>
      </c>
      <c r="E14" s="70">
        <f aca="true" t="shared" si="5" ref="E14:E20">I14</f>
        <v>1.52039</v>
      </c>
      <c r="F14" s="68">
        <f t="shared" si="1"/>
        <v>0.25</v>
      </c>
      <c r="G14" s="118">
        <f>E14*(1+D14)</f>
        <v>1.9004874999999999</v>
      </c>
      <c r="H14" s="70"/>
      <c r="I14" s="173">
        <f aca="true" t="shared" si="6" ref="I14:I20">J14*J$22+K14*K$22+L14*L$22+M14*M$22+N14*N$22+O14*O$22+P14*P$22+Q14*Q$22+R14*R$22+S14*S$22+T14*T$22+U14*U$22+V14*V$22+W14*W$22+X14*X$22+Y14*Y$22+Z14*Z$22+AA14*AA$22</f>
        <v>1.52039</v>
      </c>
      <c r="J14" s="159">
        <f>DFB_Typ_2008_07_07!W33/1000</f>
        <v>0.00775</v>
      </c>
      <c r="K14" s="57">
        <f>DFB_Typ_2008_07_07!T33/1000</f>
        <v>0.19</v>
      </c>
      <c r="L14" s="57">
        <f>DFB_Typ_2008_07_07!Q33/1000</f>
        <v>0.0596</v>
      </c>
      <c r="M14" s="57">
        <f>DFB_Typ_2008_07_07!K33/1000</f>
        <v>0.04968000000000001</v>
      </c>
      <c r="N14" s="144">
        <f>DFB_Typ_2008_07_07!N33/1000</f>
        <v>0.06568</v>
      </c>
      <c r="O14" s="207">
        <f>DFB_Typ_2008_07_07!E33/1000</f>
        <v>0.01601</v>
      </c>
      <c r="P14" s="144">
        <f>DFB_Typ_2008_07_07!H33/1000</f>
        <v>0.013050000000000003</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5"/>
        <v>0.36000000000000004</v>
      </c>
      <c r="F15" s="68">
        <f t="shared" si="1"/>
        <v>0.25000000000000006</v>
      </c>
      <c r="G15" s="118">
        <f aca="true" t="shared" si="7" ref="G15:G20">E15*(1+D15)</f>
        <v>0.45000000000000007</v>
      </c>
      <c r="H15" s="70"/>
      <c r="I15" s="173">
        <f t="shared" si="6"/>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65</v>
      </c>
      <c r="D16" s="59">
        <f t="shared" si="0"/>
        <v>0.25</v>
      </c>
      <c r="E16" s="67">
        <f t="shared" si="5"/>
        <v>1.0300000000000002</v>
      </c>
      <c r="F16" s="68">
        <f t="shared" si="1"/>
        <v>0.25</v>
      </c>
      <c r="G16" s="118">
        <f t="shared" si="7"/>
        <v>1.2875000000000003</v>
      </c>
      <c r="H16" s="70"/>
      <c r="I16" s="173">
        <f t="shared" si="6"/>
        <v>1.0300000000000002</v>
      </c>
      <c r="J16" s="159"/>
      <c r="K16" s="57"/>
      <c r="L16" s="57"/>
      <c r="M16" s="57"/>
      <c r="N16" s="57"/>
      <c r="O16" s="182"/>
      <c r="P16" s="261"/>
      <c r="Q16" s="267">
        <v>0.016</v>
      </c>
      <c r="R16" s="57">
        <v>0.026</v>
      </c>
      <c r="S16" s="57">
        <v>0.015</v>
      </c>
      <c r="T16" s="57">
        <f>0.001*0.6</f>
        <v>0.0006</v>
      </c>
      <c r="U16" s="57">
        <f>0.001*0.6</f>
        <v>0.0006</v>
      </c>
      <c r="V16" s="57">
        <v>0.002</v>
      </c>
      <c r="W16" s="57">
        <v>0.002</v>
      </c>
      <c r="X16" s="57">
        <v>0.002</v>
      </c>
      <c r="Y16" s="57">
        <v>0.002</v>
      </c>
      <c r="Z16" s="57">
        <v>0.002</v>
      </c>
      <c r="AA16" s="155">
        <v>0.002</v>
      </c>
      <c r="AB16" s="148"/>
      <c r="AC16" s="58"/>
    </row>
    <row r="17" spans="1:29" ht="12.75" outlineLevel="1">
      <c r="A17" s="64" t="s">
        <v>76</v>
      </c>
      <c r="B17" s="65" t="s">
        <v>13</v>
      </c>
      <c r="C17" s="30" t="s">
        <v>65</v>
      </c>
      <c r="D17" s="59">
        <f t="shared" si="0"/>
        <v>0.25</v>
      </c>
      <c r="E17" s="67">
        <f t="shared" si="5"/>
        <v>0.49125</v>
      </c>
      <c r="F17" s="68">
        <f t="shared" si="1"/>
        <v>0.2500000000000001</v>
      </c>
      <c r="G17" s="118">
        <f t="shared" si="7"/>
        <v>0.6140625000000001</v>
      </c>
      <c r="H17" s="70"/>
      <c r="I17" s="173">
        <f t="shared" si="6"/>
        <v>0.49125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30" t="s">
        <v>65</v>
      </c>
      <c r="D18" s="59">
        <f t="shared" si="0"/>
        <v>0.25</v>
      </c>
      <c r="E18" s="67">
        <f t="shared" si="5"/>
        <v>0.23040000000000002</v>
      </c>
      <c r="F18" s="68">
        <f t="shared" si="1"/>
        <v>0.25000000000000006</v>
      </c>
      <c r="G18" s="118">
        <f t="shared" si="7"/>
        <v>0.28800000000000003</v>
      </c>
      <c r="H18" s="70"/>
      <c r="I18" s="173">
        <f t="shared" si="6"/>
        <v>0.23040000000000002</v>
      </c>
      <c r="J18" s="159"/>
      <c r="K18" s="57"/>
      <c r="L18" s="57">
        <f>DCB_2008_02_12!$H$10/1000</f>
        <v>0.064</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30" t="s">
        <v>65</v>
      </c>
      <c r="D19" s="59">
        <f t="shared" si="0"/>
        <v>0.25</v>
      </c>
      <c r="E19" s="67">
        <f t="shared" si="5"/>
        <v>0.9520226210909092</v>
      </c>
      <c r="F19" s="68">
        <f t="shared" si="1"/>
        <v>0.25000000000000006</v>
      </c>
      <c r="G19" s="118">
        <f t="shared" si="7"/>
        <v>1.1900282763636365</v>
      </c>
      <c r="H19" s="70"/>
      <c r="I19" s="173">
        <f t="shared" si="6"/>
        <v>0.9520226210909092</v>
      </c>
      <c r="J19" s="159">
        <v>0.02</v>
      </c>
      <c r="K19" s="57">
        <f>DCB_2008_02_12!$H$24/1000</f>
        <v>0.10733333333333332</v>
      </c>
      <c r="L19" s="57">
        <f>DCB_2008_02_12!$H$23/1000-L18</f>
        <v>0.17500628363636367</v>
      </c>
      <c r="M19" s="57">
        <f>DCB_2008_02_12!K14/10/1000</f>
        <v>0.0008</v>
      </c>
      <c r="N19" s="144">
        <f>M19</f>
        <v>0.0008</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30" t="s">
        <v>65</v>
      </c>
      <c r="D20" s="83">
        <f t="shared" si="0"/>
        <v>0.25</v>
      </c>
      <c r="E20" s="84">
        <f t="shared" si="5"/>
        <v>2.7852344415999997</v>
      </c>
      <c r="F20" s="68">
        <f t="shared" si="1"/>
        <v>0.25000000000000006</v>
      </c>
      <c r="G20" s="118">
        <f t="shared" si="7"/>
        <v>3.4815430519999997</v>
      </c>
      <c r="H20" s="70"/>
      <c r="I20" s="173">
        <f t="shared" si="6"/>
        <v>2.7852344415999997</v>
      </c>
      <c r="J20" s="271">
        <f aca="true" t="shared" si="8" ref="J20:AA20">SUM(J6:J19)*$L$25</f>
        <v>0.015262500000000002</v>
      </c>
      <c r="K20" s="272">
        <f t="shared" si="8"/>
        <v>0.16353333333333334</v>
      </c>
      <c r="L20" s="142">
        <f t="shared" si="8"/>
        <v>0.16423345600000003</v>
      </c>
      <c r="M20" s="207">
        <f t="shared" si="8"/>
        <v>0.02913900000000001</v>
      </c>
      <c r="N20" s="207">
        <f t="shared" si="8"/>
        <v>0.039314</v>
      </c>
      <c r="O20" s="207">
        <f t="shared" si="8"/>
        <v>0.023105500000000005</v>
      </c>
      <c r="P20" s="273">
        <f t="shared" si="8"/>
        <v>0.018727500000000005</v>
      </c>
      <c r="Q20" s="271">
        <f t="shared" si="8"/>
        <v>0.0088</v>
      </c>
      <c r="R20" s="207">
        <f t="shared" si="8"/>
        <v>0.0242</v>
      </c>
      <c r="S20" s="207">
        <f t="shared" si="8"/>
        <v>0.018150000000000003</v>
      </c>
      <c r="T20" s="207">
        <f t="shared" si="8"/>
        <v>0.00033</v>
      </c>
      <c r="U20" s="207">
        <f t="shared" si="8"/>
        <v>0.00033</v>
      </c>
      <c r="V20" s="207">
        <f t="shared" si="8"/>
        <v>0.0033000000000000004</v>
      </c>
      <c r="W20" s="207">
        <f t="shared" si="8"/>
        <v>0.0033000000000000004</v>
      </c>
      <c r="X20" s="207">
        <f t="shared" si="8"/>
        <v>0.0033000000000000004</v>
      </c>
      <c r="Y20" s="207">
        <f t="shared" si="8"/>
        <v>0.0033000000000000004</v>
      </c>
      <c r="Z20" s="207">
        <f t="shared" si="8"/>
        <v>0.0033000000000000004</v>
      </c>
      <c r="AA20" s="274">
        <f t="shared" si="8"/>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7.84929706269091</v>
      </c>
      <c r="F22" s="240">
        <f>(G22-E22)/E22</f>
        <v>0.24999999999999994</v>
      </c>
      <c r="G22" s="241">
        <f>SUM(G13+G6)</f>
        <v>9.811621328363637</v>
      </c>
      <c r="H22" s="94"/>
      <c r="I22" s="176">
        <f>SUM(I6:I12)+SUM(I14:I20)</f>
        <v>7.84929706269091</v>
      </c>
      <c r="J22" s="164">
        <v>5</v>
      </c>
      <c r="K22" s="97">
        <v>1.8</v>
      </c>
      <c r="L22" s="97">
        <v>3.6</v>
      </c>
      <c r="M22" s="97">
        <v>5.5</v>
      </c>
      <c r="N22" s="97">
        <v>5.5</v>
      </c>
      <c r="O22" s="97">
        <v>10</v>
      </c>
      <c r="P22" s="262">
        <v>10</v>
      </c>
      <c r="Q22" s="268">
        <v>5</v>
      </c>
      <c r="R22" s="97">
        <v>10</v>
      </c>
      <c r="S22" s="97">
        <v>10</v>
      </c>
      <c r="T22" s="97">
        <v>250</v>
      </c>
      <c r="U22" s="97">
        <v>250</v>
      </c>
      <c r="V22" s="97">
        <v>20</v>
      </c>
      <c r="W22" s="97">
        <v>20</v>
      </c>
      <c r="X22" s="97">
        <v>20</v>
      </c>
      <c r="Y22" s="97">
        <v>20</v>
      </c>
      <c r="Z22" s="97">
        <v>20</v>
      </c>
      <c r="AA22" s="165">
        <v>20</v>
      </c>
      <c r="AB22" s="150" t="s">
        <v>80</v>
      </c>
      <c r="AC22" s="99"/>
    </row>
    <row r="23" spans="1:29" s="53" customFormat="1" ht="16.5" thickBot="1">
      <c r="A23" s="100"/>
      <c r="B23" s="63"/>
      <c r="C23" s="101"/>
      <c r="D23" s="242" t="s">
        <v>252</v>
      </c>
      <c r="E23" s="244">
        <f>I54</f>
        <v>13.544522467600006</v>
      </c>
      <c r="F23" s="243">
        <f>F22</f>
        <v>0.24999999999999994</v>
      </c>
      <c r="G23" s="245">
        <f>E23*(1+F23)</f>
        <v>16.93065308450001</v>
      </c>
      <c r="H23" s="94"/>
      <c r="I23" s="177" t="s">
        <v>258</v>
      </c>
      <c r="J23" s="166">
        <f aca="true" t="shared" si="9" ref="J23:AA23">SUM(J6:J12)+SUM(J14:J19)</f>
        <v>0.02775</v>
      </c>
      <c r="K23" s="104">
        <f t="shared" si="9"/>
        <v>0.29733333333333334</v>
      </c>
      <c r="L23" s="104">
        <f t="shared" si="9"/>
        <v>0.29860628363636366</v>
      </c>
      <c r="M23" s="104">
        <f t="shared" si="9"/>
        <v>0.05298000000000001</v>
      </c>
      <c r="N23" s="104">
        <f t="shared" si="9"/>
        <v>0.07148</v>
      </c>
      <c r="O23" s="104">
        <f t="shared" si="9"/>
        <v>0.042010000000000006</v>
      </c>
      <c r="P23" s="116">
        <f t="shared" si="9"/>
        <v>0.034050000000000004</v>
      </c>
      <c r="Q23" s="269">
        <f t="shared" si="9"/>
        <v>0.016</v>
      </c>
      <c r="R23" s="258">
        <f t="shared" si="9"/>
        <v>0.044</v>
      </c>
      <c r="S23" s="104">
        <f t="shared" si="9"/>
        <v>0.033</v>
      </c>
      <c r="T23" s="104">
        <f t="shared" si="9"/>
        <v>0.0006</v>
      </c>
      <c r="U23" s="104">
        <f t="shared" si="9"/>
        <v>0.0006</v>
      </c>
      <c r="V23" s="104">
        <f t="shared" si="9"/>
        <v>0.006</v>
      </c>
      <c r="W23" s="104">
        <f t="shared" si="9"/>
        <v>0.006</v>
      </c>
      <c r="X23" s="104">
        <f t="shared" si="9"/>
        <v>0.006</v>
      </c>
      <c r="Y23" s="104">
        <f t="shared" si="9"/>
        <v>0.006</v>
      </c>
      <c r="Z23" s="104">
        <f t="shared" si="9"/>
        <v>0.006</v>
      </c>
      <c r="AA23" s="167">
        <f t="shared" si="9"/>
        <v>0.006</v>
      </c>
      <c r="AB23" s="150" t="s">
        <v>81</v>
      </c>
      <c r="AC23" s="99"/>
    </row>
    <row r="24" spans="1:29" s="53" customFormat="1" ht="16.5" thickBot="1">
      <c r="A24"/>
      <c r="B24" s="66"/>
      <c r="H24" s="105"/>
      <c r="I24" s="178"/>
      <c r="J24" s="168">
        <f aca="true" t="shared" si="10" ref="J24:AA24">J22*J23</f>
        <v>0.13875</v>
      </c>
      <c r="K24" s="181">
        <f t="shared" si="10"/>
        <v>0.5352</v>
      </c>
      <c r="L24" s="169">
        <f t="shared" si="10"/>
        <v>1.0749826210909093</v>
      </c>
      <c r="M24" s="169">
        <f t="shared" si="10"/>
        <v>0.2913900000000001</v>
      </c>
      <c r="N24" s="169">
        <f t="shared" si="10"/>
        <v>0.39314</v>
      </c>
      <c r="O24" s="169">
        <f t="shared" si="10"/>
        <v>0.42010000000000003</v>
      </c>
      <c r="P24" s="263">
        <f t="shared" si="10"/>
        <v>0.3405</v>
      </c>
      <c r="Q24" s="270">
        <f t="shared" si="10"/>
        <v>0.08</v>
      </c>
      <c r="R24" s="169">
        <f t="shared" si="10"/>
        <v>0.43999999999999995</v>
      </c>
      <c r="S24" s="169">
        <f t="shared" si="10"/>
        <v>0.33</v>
      </c>
      <c r="T24" s="169">
        <f t="shared" si="10"/>
        <v>0.15</v>
      </c>
      <c r="U24" s="169">
        <f t="shared" si="10"/>
        <v>0.15</v>
      </c>
      <c r="V24" s="169">
        <f t="shared" si="10"/>
        <v>0.12</v>
      </c>
      <c r="W24" s="169">
        <f t="shared" si="10"/>
        <v>0.12</v>
      </c>
      <c r="X24" s="169">
        <f t="shared" si="10"/>
        <v>0.12</v>
      </c>
      <c r="Y24" s="169">
        <f t="shared" si="10"/>
        <v>0.12</v>
      </c>
      <c r="Z24" s="169">
        <f t="shared" si="10"/>
        <v>0.12</v>
      </c>
      <c r="AA24" s="170">
        <f t="shared" si="10"/>
        <v>0.12</v>
      </c>
      <c r="AB24" s="151" t="s">
        <v>4</v>
      </c>
      <c r="AC24" s="110"/>
    </row>
    <row r="25" spans="1:29" s="53" customFormat="1" ht="15" outlineLevel="1">
      <c r="A25"/>
      <c r="B25" s="39"/>
      <c r="C25" s="63"/>
      <c r="D25" s="63"/>
      <c r="E25" s="112"/>
      <c r="F25" s="112"/>
      <c r="G25" s="112"/>
      <c r="H25" s="94"/>
      <c r="I25" s="1" t="s">
        <v>82</v>
      </c>
      <c r="L25" s="112">
        <v>0.55</v>
      </c>
      <c r="M25" s="113"/>
      <c r="N25" s="79" t="s">
        <v>261</v>
      </c>
      <c r="P25" s="79">
        <f>1/(1+L25)</f>
        <v>0.6451612903225806</v>
      </c>
      <c r="Q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9.811621328363637</v>
      </c>
      <c r="C28" s="131">
        <f>G23/B33</f>
        <v>0.7695751402045459</v>
      </c>
      <c r="D28" s="450" t="s">
        <v>253</v>
      </c>
      <c r="E28" s="450"/>
      <c r="F28" s="450"/>
      <c r="G28" s="450"/>
      <c r="H28" s="450"/>
      <c r="I28"/>
      <c r="M28" s="139"/>
    </row>
    <row r="29" spans="1:21" ht="12.75" outlineLevel="1">
      <c r="A29" s="132" t="s">
        <v>313</v>
      </c>
      <c r="B29" s="21">
        <f>B28/2</f>
        <v>4.905810664181819</v>
      </c>
      <c r="C29" s="131">
        <f>35/F39</f>
        <v>0.5365702479338842</v>
      </c>
      <c r="D29" s="449" t="s">
        <v>114</v>
      </c>
      <c r="E29" s="450"/>
      <c r="F29" s="450"/>
      <c r="G29" s="450"/>
      <c r="H29" s="450"/>
      <c r="L29" s="139"/>
      <c r="U29" s="113"/>
    </row>
    <row r="30" spans="1:9" ht="12.75" outlineLevel="1">
      <c r="A30" s="132" t="s">
        <v>99</v>
      </c>
      <c r="B30" s="21">
        <f>C38</f>
        <v>0.3372727272727272</v>
      </c>
      <c r="C30" s="21">
        <f>MAX(C37,C40)</f>
        <v>1.9125683060109289</v>
      </c>
      <c r="D30" s="449" t="s">
        <v>115</v>
      </c>
      <c r="E30" s="450"/>
      <c r="F30" s="450"/>
      <c r="G30" s="450"/>
      <c r="H30" s="450"/>
      <c r="I30" s="79"/>
    </row>
    <row r="31" spans="1:13" ht="12.75" outlineLevel="1">
      <c r="A31" s="132" t="s">
        <v>100</v>
      </c>
      <c r="B31" s="21">
        <f>C38/2</f>
        <v>0.1686363636363636</v>
      </c>
      <c r="C31" s="21">
        <f>MAX(C36,C39,C40)</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273</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271</v>
      </c>
      <c r="B37" s="2"/>
      <c r="C37" s="128">
        <f>B34/F37</f>
        <v>1.9125683060109289</v>
      </c>
      <c r="D37" s="127" t="s">
        <v>111</v>
      </c>
      <c r="E37" s="113"/>
      <c r="F37" s="129">
        <f>36.6/2</f>
        <v>18.3</v>
      </c>
      <c r="G37" s="113" t="s">
        <v>102</v>
      </c>
      <c r="I37" s="171" t="s">
        <v>46</v>
      </c>
      <c r="J37" s="152" t="s">
        <v>47</v>
      </c>
      <c r="K37" s="179" t="s">
        <v>119</v>
      </c>
      <c r="L37" s="153" t="s">
        <v>48</v>
      </c>
      <c r="M37" s="153" t="s">
        <v>49</v>
      </c>
      <c r="N37" s="153" t="s">
        <v>50</v>
      </c>
      <c r="O37" s="153" t="s">
        <v>129</v>
      </c>
      <c r="P37" s="259" t="s">
        <v>131</v>
      </c>
      <c r="Q37" s="264" t="s">
        <v>47</v>
      </c>
      <c r="R37" s="153" t="s">
        <v>53</v>
      </c>
      <c r="S37" s="153" t="s">
        <v>54</v>
      </c>
      <c r="T37" s="153" t="s">
        <v>126</v>
      </c>
      <c r="U37" s="153" t="s">
        <v>127</v>
      </c>
      <c r="V37" s="153" t="s">
        <v>56</v>
      </c>
      <c r="W37" s="153" t="s">
        <v>57</v>
      </c>
      <c r="X37" s="153" t="s">
        <v>58</v>
      </c>
      <c r="Y37" s="153" t="s">
        <v>59</v>
      </c>
      <c r="Z37" s="153" t="s">
        <v>60</v>
      </c>
      <c r="AA37" s="154" t="s">
        <v>61</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314</v>
      </c>
      <c r="C39" s="125">
        <f>B34/F39</f>
        <v>0.5365702479338842</v>
      </c>
      <c r="D39" s="127" t="s">
        <v>111</v>
      </c>
      <c r="E39" s="113"/>
      <c r="F39" s="126">
        <f>B33/C38</f>
        <v>65.2291105121294</v>
      </c>
      <c r="G39" s="113" t="s">
        <v>102</v>
      </c>
      <c r="I39" s="173">
        <f aca="true" t="shared" si="11" ref="I39:I44">J39*J$22+K39*K$22+L39*L$22+M39*M$22+N39*N$22+O39*O$22+P39*P$22+Q39*Q$22+R39*R$22+S39*S$22+T39*T$22+U39*U$22+V39*V$22+W39*W$22+X39*X$22+Y39*Y$22+Z39*Z$22+AA39*AA$22</f>
        <v>0.12</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1:29" ht="12.75" outlineLevel="1">
      <c r="A40" s="79" t="s">
        <v>272</v>
      </c>
      <c r="C40" s="284">
        <v>1.5</v>
      </c>
      <c r="D40" s="285" t="s">
        <v>312</v>
      </c>
      <c r="I40" s="173">
        <f t="shared" si="11"/>
        <v>0.12</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4:29" ht="12.75" outlineLevel="1">
      <c r="D41" s="285" t="s">
        <v>274</v>
      </c>
      <c r="I41" s="173">
        <f t="shared" si="11"/>
        <v>0.12</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1"/>
        <v>0.12</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1"/>
        <v>0.12</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9:29" ht="12.75" outlineLevel="1">
      <c r="I44" s="173">
        <f t="shared" si="11"/>
        <v>0.12</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311</v>
      </c>
      <c r="I46" s="173">
        <f aca="true" t="shared" si="12" ref="I46:I52">J46*J$22+K46*K$22+L46*L$22+M46*M$22+N46*N$22+O46*O$22+P46*P$22+Q46*Q$22+R46*R$22+S46*S$22+T46*T$22+U46*U$22+V46*V$22+W46*W$22+X46*X$22+Y46*Y$22+Z46*Z$22+AA46*AA$22</f>
        <v>2.6732</v>
      </c>
      <c r="J46" s="275">
        <f>DFB_Max_2008_07_07!W33/1000</f>
        <v>0.0147</v>
      </c>
      <c r="K46" s="277">
        <f>DFB_Max_2008_07_07!T33/1000</f>
        <v>0.38</v>
      </c>
      <c r="L46" s="278">
        <f>DFB_Max_2008_07_07!Q33/1000</f>
        <v>0.118</v>
      </c>
      <c r="M46" s="277">
        <f>DFB_Max_2008_07_07!K33/1000</f>
        <v>0.0829</v>
      </c>
      <c r="N46" s="277">
        <f>DFB_Max_2008_07_07!N33/1000</f>
        <v>0.1029</v>
      </c>
      <c r="O46" s="278">
        <f>DFB_Max_2008_07_07!E33/1000</f>
        <v>0.0304</v>
      </c>
      <c r="P46" s="277">
        <f>DFB_Max_2008_07_07!H33/1000</f>
        <v>0.0165</v>
      </c>
      <c r="Q46" s="275"/>
      <c r="R46" s="143"/>
      <c r="S46" s="143"/>
      <c r="T46" s="57"/>
      <c r="U46" s="57"/>
      <c r="V46" s="57"/>
      <c r="W46" s="57"/>
      <c r="X46" s="57"/>
      <c r="Y46" s="57"/>
      <c r="Z46" s="57"/>
      <c r="AA46" s="155"/>
      <c r="AB46" s="148"/>
      <c r="AC46" s="58"/>
    </row>
    <row r="47" spans="9:29" ht="12.75" outlineLevel="1">
      <c r="I47" s="173">
        <f t="shared" si="12"/>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2"/>
        <v>1.5450000000000004</v>
      </c>
      <c r="J48" s="250"/>
      <c r="K48" s="251"/>
      <c r="L48" s="57"/>
      <c r="M48" s="144"/>
      <c r="N48" s="144"/>
      <c r="O48" s="182"/>
      <c r="P48" s="261"/>
      <c r="Q48" s="250">
        <f>Q16*1.5</f>
        <v>0.024</v>
      </c>
      <c r="R48" s="253">
        <f>R16*1.5</f>
        <v>0.039</v>
      </c>
      <c r="S48" s="251">
        <f>S16*1.5</f>
        <v>0.0225</v>
      </c>
      <c r="T48" s="253">
        <f aca="true" t="shared" si="13" ref="T48:AA48">T16*1.5</f>
        <v>0.0009</v>
      </c>
      <c r="U48" s="253">
        <f t="shared" si="13"/>
        <v>0.0009</v>
      </c>
      <c r="V48" s="251">
        <f t="shared" si="13"/>
        <v>0.003</v>
      </c>
      <c r="W48" s="253">
        <f t="shared" si="13"/>
        <v>0.003</v>
      </c>
      <c r="X48" s="251">
        <f t="shared" si="13"/>
        <v>0.003</v>
      </c>
      <c r="Y48" s="251">
        <f t="shared" si="13"/>
        <v>0.003</v>
      </c>
      <c r="Z48" s="251">
        <f t="shared" si="13"/>
        <v>0.003</v>
      </c>
      <c r="AA48" s="252">
        <f t="shared" si="13"/>
        <v>0.003</v>
      </c>
      <c r="AB48" s="148"/>
      <c r="AC48" s="58"/>
    </row>
    <row r="49" spans="9:29" ht="12.75" outlineLevel="1">
      <c r="I49" s="173">
        <f t="shared" si="12"/>
        <v>0.7368750000000001</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row>
    <row r="50" spans="9:29" ht="12.75" outlineLevel="1">
      <c r="I50" s="173">
        <f t="shared" si="12"/>
        <v>0.3456</v>
      </c>
      <c r="J50" s="159"/>
      <c r="K50" s="57"/>
      <c r="L50" s="143">
        <f>DCB_2008_02_12!G10/1000</f>
        <v>0.096</v>
      </c>
      <c r="M50" s="144"/>
      <c r="N50" s="144"/>
      <c r="O50" s="57"/>
      <c r="P50" s="144"/>
      <c r="Q50" s="266"/>
      <c r="R50" s="57"/>
      <c r="S50" s="57"/>
      <c r="T50" s="57"/>
      <c r="U50" s="57"/>
      <c r="V50" s="57"/>
      <c r="W50" s="57"/>
      <c r="X50" s="57"/>
      <c r="Y50" s="57"/>
      <c r="Z50" s="57"/>
      <c r="AA50" s="155"/>
      <c r="AB50" s="148"/>
      <c r="AC50" s="58"/>
    </row>
    <row r="51" spans="8:29" ht="12.75" outlineLevel="1">
      <c r="H51" s="248" t="s">
        <v>254</v>
      </c>
      <c r="I51" s="173">
        <f t="shared" si="12"/>
        <v>2.177726592000001</v>
      </c>
      <c r="J51" s="246">
        <f>J19*1.5</f>
        <v>0.03</v>
      </c>
      <c r="K51" s="143">
        <f>DCB_2008_02_12!G24/1000</f>
        <v>0.21466666666666664</v>
      </c>
      <c r="L51" s="143">
        <f>DCB_2008_02_12!G23/1000-L50</f>
        <v>0.4439240533333334</v>
      </c>
      <c r="M51" s="237">
        <f>DCB_2008_02_12!J14/10/1000</f>
        <v>0.0012</v>
      </c>
      <c r="N51" s="279">
        <f>M51</f>
        <v>0.0012</v>
      </c>
      <c r="O51" s="280">
        <f>O19*1.5</f>
        <v>0.0015</v>
      </c>
      <c r="P51" s="281">
        <f>P19*1.5</f>
        <v>0.0015</v>
      </c>
      <c r="Q51" s="250"/>
      <c r="R51" s="57"/>
      <c r="S51" s="57"/>
      <c r="T51" s="57"/>
      <c r="U51" s="57"/>
      <c r="V51" s="57"/>
      <c r="W51" s="57"/>
      <c r="X51" s="57"/>
      <c r="Y51" s="57"/>
      <c r="Z51" s="57"/>
      <c r="AA51" s="155"/>
      <c r="AB51" s="148"/>
      <c r="AC51" s="58"/>
    </row>
    <row r="52" spans="9:29" ht="12.75" outlineLevel="1">
      <c r="I52" s="173">
        <f t="shared" si="12"/>
        <v>4.806120875600002</v>
      </c>
      <c r="J52" s="271">
        <f aca="true" t="shared" si="14" ref="J52:AA52">SUM(J38:J51)*$L$25</f>
        <v>0.024585</v>
      </c>
      <c r="K52" s="272">
        <f t="shared" si="14"/>
        <v>0.32706666666666667</v>
      </c>
      <c r="L52" s="142">
        <f t="shared" si="14"/>
        <v>0.3618582293333334</v>
      </c>
      <c r="M52" s="207">
        <f t="shared" si="14"/>
        <v>0.04831750000000001</v>
      </c>
      <c r="N52" s="207">
        <f t="shared" si="14"/>
        <v>0.06138000000000001</v>
      </c>
      <c r="O52" s="207">
        <f t="shared" si="14"/>
        <v>0.03817</v>
      </c>
      <c r="P52" s="273">
        <f t="shared" si="14"/>
        <v>0.026400000000000003</v>
      </c>
      <c r="Q52" s="271">
        <f t="shared" si="14"/>
        <v>0.013200000000000002</v>
      </c>
      <c r="R52" s="207">
        <f t="shared" si="14"/>
        <v>0.036300000000000006</v>
      </c>
      <c r="S52" s="207">
        <f t="shared" si="14"/>
        <v>0.027225000000000003</v>
      </c>
      <c r="T52" s="207">
        <f t="shared" si="14"/>
        <v>0.000495</v>
      </c>
      <c r="U52" s="207">
        <f t="shared" si="14"/>
        <v>0.000495</v>
      </c>
      <c r="V52" s="207">
        <f t="shared" si="14"/>
        <v>0.004950000000000001</v>
      </c>
      <c r="W52" s="207">
        <f t="shared" si="14"/>
        <v>0.004950000000000001</v>
      </c>
      <c r="X52" s="207">
        <f t="shared" si="14"/>
        <v>0.004950000000000001</v>
      </c>
      <c r="Y52" s="207">
        <f t="shared" si="14"/>
        <v>0.004950000000000001</v>
      </c>
      <c r="Z52" s="207">
        <f t="shared" si="14"/>
        <v>0.004950000000000001</v>
      </c>
      <c r="AA52" s="274">
        <f t="shared" si="14"/>
        <v>0.004950000000000001</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29" ht="15">
      <c r="I54" s="176">
        <f>SUM(I38:I44)+SUM(I46:I52)</f>
        <v>13.544522467600006</v>
      </c>
      <c r="J54" s="164">
        <f aca="true" t="shared" si="15" ref="J54:AA54">J22</f>
        <v>5</v>
      </c>
      <c r="K54" s="97">
        <f t="shared" si="15"/>
        <v>1.8</v>
      </c>
      <c r="L54" s="97">
        <f t="shared" si="15"/>
        <v>3.6</v>
      </c>
      <c r="M54" s="97">
        <f t="shared" si="15"/>
        <v>5.5</v>
      </c>
      <c r="N54" s="97">
        <f t="shared" si="15"/>
        <v>5.5</v>
      </c>
      <c r="O54" s="97">
        <f t="shared" si="15"/>
        <v>10</v>
      </c>
      <c r="P54" s="262">
        <f t="shared" si="15"/>
        <v>10</v>
      </c>
      <c r="Q54" s="164">
        <f t="shared" si="15"/>
        <v>5</v>
      </c>
      <c r="R54" s="97">
        <f t="shared" si="15"/>
        <v>10</v>
      </c>
      <c r="S54" s="97">
        <f t="shared" si="15"/>
        <v>10</v>
      </c>
      <c r="T54" s="97">
        <f t="shared" si="15"/>
        <v>250</v>
      </c>
      <c r="U54" s="97">
        <f t="shared" si="15"/>
        <v>250</v>
      </c>
      <c r="V54" s="97">
        <f t="shared" si="15"/>
        <v>20</v>
      </c>
      <c r="W54" s="97">
        <f t="shared" si="15"/>
        <v>20</v>
      </c>
      <c r="X54" s="97">
        <f t="shared" si="15"/>
        <v>20</v>
      </c>
      <c r="Y54" s="97">
        <f t="shared" si="15"/>
        <v>20</v>
      </c>
      <c r="Z54" s="97">
        <f t="shared" si="15"/>
        <v>20</v>
      </c>
      <c r="AA54" s="165">
        <f t="shared" si="15"/>
        <v>20</v>
      </c>
      <c r="AB54" s="150" t="s">
        <v>80</v>
      </c>
      <c r="AC54" s="99"/>
    </row>
    <row r="55" spans="9:29" ht="15">
      <c r="I55" s="177" t="s">
        <v>252</v>
      </c>
      <c r="J55" s="166">
        <f aca="true" t="shared" si="16" ref="J55:AA55">SUM(J38:J44)+SUM(J46:J51)</f>
        <v>0.0447</v>
      </c>
      <c r="K55" s="104">
        <f t="shared" si="16"/>
        <v>0.5946666666666667</v>
      </c>
      <c r="L55" s="104">
        <f t="shared" si="16"/>
        <v>0.6579240533333334</v>
      </c>
      <c r="M55" s="104">
        <f t="shared" si="16"/>
        <v>0.08785000000000001</v>
      </c>
      <c r="N55" s="104">
        <f t="shared" si="16"/>
        <v>0.1116</v>
      </c>
      <c r="O55" s="104">
        <f t="shared" si="16"/>
        <v>0.0694</v>
      </c>
      <c r="P55" s="116">
        <f t="shared" si="16"/>
        <v>0.048</v>
      </c>
      <c r="Q55" s="166">
        <f t="shared" si="16"/>
        <v>0.024</v>
      </c>
      <c r="R55" s="258">
        <f t="shared" si="16"/>
        <v>0.066</v>
      </c>
      <c r="S55" s="104">
        <f t="shared" si="16"/>
        <v>0.0495</v>
      </c>
      <c r="T55" s="104">
        <f t="shared" si="16"/>
        <v>0.0009</v>
      </c>
      <c r="U55" s="104">
        <f t="shared" si="16"/>
        <v>0.0009</v>
      </c>
      <c r="V55" s="104">
        <f t="shared" si="16"/>
        <v>0.009000000000000001</v>
      </c>
      <c r="W55" s="104">
        <f t="shared" si="16"/>
        <v>0.009000000000000001</v>
      </c>
      <c r="X55" s="104">
        <f t="shared" si="16"/>
        <v>0.009000000000000001</v>
      </c>
      <c r="Y55" s="104">
        <f t="shared" si="16"/>
        <v>0.009000000000000001</v>
      </c>
      <c r="Z55" s="104">
        <f t="shared" si="16"/>
        <v>0.009000000000000001</v>
      </c>
      <c r="AA55" s="167">
        <f t="shared" si="16"/>
        <v>0.009000000000000001</v>
      </c>
      <c r="AB55" s="150" t="s">
        <v>81</v>
      </c>
      <c r="AC55" s="99"/>
    </row>
    <row r="56" spans="9:29" ht="15.75" thickBot="1">
      <c r="I56" s="178"/>
      <c r="J56" s="168">
        <f aca="true" t="shared" si="17" ref="J56:AA56">J54*J55</f>
        <v>0.22349999999999998</v>
      </c>
      <c r="K56" s="181">
        <f t="shared" si="17"/>
        <v>1.0704</v>
      </c>
      <c r="L56" s="169">
        <f t="shared" si="17"/>
        <v>2.3685265920000003</v>
      </c>
      <c r="M56" s="169">
        <f t="shared" si="17"/>
        <v>0.4831750000000001</v>
      </c>
      <c r="N56" s="169">
        <f t="shared" si="17"/>
        <v>0.6138</v>
      </c>
      <c r="O56" s="169">
        <f t="shared" si="17"/>
        <v>0.6940000000000001</v>
      </c>
      <c r="P56" s="263">
        <f t="shared" si="17"/>
        <v>0.48</v>
      </c>
      <c r="Q56" s="168">
        <f t="shared" si="17"/>
        <v>0.12</v>
      </c>
      <c r="R56" s="169">
        <f t="shared" si="17"/>
        <v>0.66</v>
      </c>
      <c r="S56" s="169">
        <f t="shared" si="17"/>
        <v>0.495</v>
      </c>
      <c r="T56" s="169">
        <f t="shared" si="17"/>
        <v>0.225</v>
      </c>
      <c r="U56" s="169">
        <f t="shared" si="17"/>
        <v>0.225</v>
      </c>
      <c r="V56" s="169">
        <f t="shared" si="17"/>
        <v>0.18000000000000002</v>
      </c>
      <c r="W56" s="169">
        <f t="shared" si="17"/>
        <v>0.18000000000000002</v>
      </c>
      <c r="X56" s="169">
        <f t="shared" si="17"/>
        <v>0.18000000000000002</v>
      </c>
      <c r="Y56" s="169">
        <f t="shared" si="17"/>
        <v>0.18000000000000002</v>
      </c>
      <c r="Z56" s="169">
        <f t="shared" si="17"/>
        <v>0.18000000000000002</v>
      </c>
      <c r="AA56" s="170">
        <f t="shared" si="17"/>
        <v>0.18000000000000002</v>
      </c>
      <c r="AB56" s="151" t="s">
        <v>4</v>
      </c>
      <c r="AC56" s="110"/>
    </row>
    <row r="58" ht="12.75">
      <c r="L58" s="139"/>
    </row>
    <row r="60" ht="12.75">
      <c r="T60">
        <f>T48*1000</f>
        <v>0.9</v>
      </c>
    </row>
  </sheetData>
  <mergeCells count="16">
    <mergeCell ref="Q6:AA6"/>
    <mergeCell ref="Q38:AA38"/>
    <mergeCell ref="I35:I36"/>
    <mergeCell ref="J35:AC36"/>
    <mergeCell ref="J38:P38"/>
    <mergeCell ref="J6:P6"/>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1.xml><?xml version="1.0" encoding="utf-8"?>
<worksheet xmlns="http://schemas.openxmlformats.org/spreadsheetml/2006/main" xmlns:r="http://schemas.openxmlformats.org/officeDocument/2006/relationships">
  <sheetPr>
    <outlinePr summaryBelow="0"/>
    <pageSetUpPr fitToPage="1"/>
  </sheetPr>
  <dimension ref="A1:AC58"/>
  <sheetViews>
    <sheetView zoomScaleSheetLayoutView="100" workbookViewId="0" topLeftCell="D25">
      <selection activeCell="F47" sqref="F47"/>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259" t="s">
        <v>131</v>
      </c>
      <c r="Q5" s="264" t="s">
        <v>47</v>
      </c>
      <c r="R5" s="153" t="s">
        <v>53</v>
      </c>
      <c r="S5" s="153" t="s">
        <v>54</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66" t="s">
        <v>64</v>
      </c>
      <c r="D7" s="59">
        <f t="shared" si="0"/>
        <v>0.15</v>
      </c>
      <c r="E7" s="67">
        <f aca="true" t="shared" si="2" ref="E7:E12">I7</f>
        <v>0.08</v>
      </c>
      <c r="F7" s="68">
        <f t="shared" si="1"/>
        <v>0.25000000000000006</v>
      </c>
      <c r="G7" s="69">
        <v>0.1</v>
      </c>
      <c r="H7" s="70"/>
      <c r="I7" s="173">
        <f aca="true" t="shared" si="3" ref="I7:I12">J7*J$22+K7*K$22+L7*L$22+M7*M$22+N7*N$22+O7*O$22+P7*P$22+Q7*Q$22+R7*R$22+S7*S$22+T7*T$22+U7*U$22+V7*V$22+W7*W$22+X7*X$22+Y7*Y$22+Z7*Z$22+AA7*AA$22</f>
        <v>0.08</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66" t="s">
        <v>64</v>
      </c>
      <c r="D8" s="59">
        <f t="shared" si="0"/>
        <v>0.15</v>
      </c>
      <c r="E8" s="67">
        <f t="shared" si="2"/>
        <v>0.08</v>
      </c>
      <c r="F8" s="68">
        <f t="shared" si="1"/>
        <v>0.25000000000000006</v>
      </c>
      <c r="G8" s="69">
        <v>0.1</v>
      </c>
      <c r="H8" s="70"/>
      <c r="I8" s="173">
        <f t="shared" si="3"/>
        <v>0.08</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66" t="s">
        <v>64</v>
      </c>
      <c r="D9" s="59">
        <f t="shared" si="0"/>
        <v>0.15</v>
      </c>
      <c r="E9" s="67">
        <f t="shared" si="2"/>
        <v>0.08</v>
      </c>
      <c r="F9" s="68">
        <f t="shared" si="1"/>
        <v>0.25000000000000006</v>
      </c>
      <c r="G9" s="69">
        <v>0.1</v>
      </c>
      <c r="H9" s="70"/>
      <c r="I9" s="173">
        <f t="shared" si="3"/>
        <v>0.08</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66" t="s">
        <v>64</v>
      </c>
      <c r="D10" s="59">
        <f t="shared" si="0"/>
        <v>0.15</v>
      </c>
      <c r="E10" s="67">
        <f t="shared" si="2"/>
        <v>0.08</v>
      </c>
      <c r="F10" s="68">
        <f t="shared" si="1"/>
        <v>0.25000000000000006</v>
      </c>
      <c r="G10" s="69">
        <v>0.1</v>
      </c>
      <c r="H10" s="70"/>
      <c r="I10" s="173">
        <f t="shared" si="3"/>
        <v>0.08</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66" t="s">
        <v>64</v>
      </c>
      <c r="D11" s="59">
        <f t="shared" si="0"/>
        <v>0.15</v>
      </c>
      <c r="E11" s="67">
        <f t="shared" si="2"/>
        <v>0.08</v>
      </c>
      <c r="F11" s="68">
        <f t="shared" si="1"/>
        <v>0.25000000000000006</v>
      </c>
      <c r="G11" s="69">
        <v>0.1</v>
      </c>
      <c r="H11" s="70"/>
      <c r="I11" s="173">
        <f t="shared" si="3"/>
        <v>0.08</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66" t="s">
        <v>64</v>
      </c>
      <c r="D12" s="59">
        <f t="shared" si="0"/>
        <v>0.15</v>
      </c>
      <c r="E12" s="67">
        <f t="shared" si="2"/>
        <v>0.08</v>
      </c>
      <c r="F12" s="68">
        <f t="shared" si="1"/>
        <v>0.25000000000000006</v>
      </c>
      <c r="G12" s="69">
        <v>0.1</v>
      </c>
      <c r="H12" s="70"/>
      <c r="I12" s="173">
        <f t="shared" si="3"/>
        <v>0.08</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7.377140062690909</v>
      </c>
      <c r="F13" s="120">
        <f t="shared" si="1"/>
        <v>0.17089729363940773</v>
      </c>
      <c r="G13" s="121">
        <f>SUM(G14:G20)</f>
        <v>8.637873334203636</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64</v>
      </c>
      <c r="D14" s="77">
        <f t="shared" si="0"/>
        <v>0.15</v>
      </c>
      <c r="E14" s="70">
        <f aca="true" t="shared" si="4" ref="E14:E20">I14</f>
        <v>1.53</v>
      </c>
      <c r="F14" s="68">
        <f aca="true" t="shared" si="5" ref="F14:F20">D14</f>
        <v>0.15</v>
      </c>
      <c r="G14" s="118">
        <f aca="true" t="shared" si="6" ref="G14:G20">E14*(1+F14)</f>
        <v>1.7594999999999998</v>
      </c>
      <c r="H14" s="70"/>
      <c r="I14" s="173">
        <f aca="true" t="shared" si="7" ref="I14:I20">J14*J$22+K14*K$22+L14*L$22+M14*M$22+N14*N$22+O14*O$22+P14*P$22+Q14*Q$22+R14*R$22+S14*S$22+T14*T$22+U14*U$22+V14*V$22+W14*W$22+X14*X$22+Y14*Y$22+Z14*Z$22+AA14*AA$22</f>
        <v>1.53</v>
      </c>
      <c r="J14" s="159"/>
      <c r="K14" s="57">
        <f>DFB_2007_05_22!$Y$21/1000</f>
        <v>0.25</v>
      </c>
      <c r="L14" s="57">
        <v>0.1</v>
      </c>
      <c r="M14" s="57">
        <f>DFB_2007_05_22!$L$21/1000</f>
        <v>0.04</v>
      </c>
      <c r="N14" s="144">
        <f>DFB_2007_05_22!$O$21/1000</f>
        <v>0.05</v>
      </c>
      <c r="O14" s="207">
        <f>DFB_2007_05_22!$F$21/1000</f>
        <v>0.0165</v>
      </c>
      <c r="P14" s="144">
        <f>DFB_2007_05_22!$I$21/1000</f>
        <v>0.0105</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4"/>
        <v>0.36000000000000004</v>
      </c>
      <c r="F15" s="68">
        <f t="shared" si="5"/>
        <v>0.25</v>
      </c>
      <c r="G15" s="118">
        <f t="shared" si="6"/>
        <v>0.45000000000000007</v>
      </c>
      <c r="H15" s="70"/>
      <c r="I15" s="173">
        <f t="shared" si="7"/>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64</v>
      </c>
      <c r="D16" s="59">
        <f t="shared" si="0"/>
        <v>0.15</v>
      </c>
      <c r="E16" s="67">
        <f t="shared" si="4"/>
        <v>1.0300000000000002</v>
      </c>
      <c r="F16" s="68">
        <f t="shared" si="5"/>
        <v>0.15</v>
      </c>
      <c r="G16" s="118">
        <f t="shared" si="6"/>
        <v>1.1845</v>
      </c>
      <c r="H16" s="70"/>
      <c r="I16" s="173">
        <f t="shared" si="7"/>
        <v>1.0300000000000002</v>
      </c>
      <c r="J16" s="159"/>
      <c r="K16" s="57"/>
      <c r="L16" s="57"/>
      <c r="M16" s="57"/>
      <c r="N16" s="57"/>
      <c r="O16" s="182"/>
      <c r="P16" s="261"/>
      <c r="Q16" s="267">
        <v>0.016</v>
      </c>
      <c r="R16" s="57">
        <v>0.026</v>
      </c>
      <c r="S16" s="57">
        <v>0.015</v>
      </c>
      <c r="T16" s="57">
        <f>0.001*0.6</f>
        <v>0.0006</v>
      </c>
      <c r="U16" s="57">
        <f>0.001*0.6</f>
        <v>0.0006</v>
      </c>
      <c r="V16" s="57">
        <v>0.002</v>
      </c>
      <c r="W16" s="57">
        <v>0.002</v>
      </c>
      <c r="X16" s="57">
        <v>0.002</v>
      </c>
      <c r="Y16" s="57">
        <v>0.002</v>
      </c>
      <c r="Z16" s="57">
        <v>0.002</v>
      </c>
      <c r="AA16" s="155">
        <v>0.002</v>
      </c>
      <c r="AB16" s="148"/>
      <c r="AC16" s="58"/>
    </row>
    <row r="17" spans="1:29" ht="12.75" outlineLevel="1">
      <c r="A17" s="64" t="s">
        <v>76</v>
      </c>
      <c r="B17" s="65" t="s">
        <v>13</v>
      </c>
      <c r="C17" s="30" t="s">
        <v>64</v>
      </c>
      <c r="D17" s="59">
        <f t="shared" si="0"/>
        <v>0.15</v>
      </c>
      <c r="E17" s="67">
        <f t="shared" si="4"/>
        <v>0.4875</v>
      </c>
      <c r="F17" s="68">
        <f t="shared" si="5"/>
        <v>0.15</v>
      </c>
      <c r="G17" s="118">
        <f t="shared" si="6"/>
        <v>0.5606249999999999</v>
      </c>
      <c r="H17" s="70"/>
      <c r="I17" s="173">
        <f t="shared" si="7"/>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66" t="s">
        <v>65</v>
      </c>
      <c r="D18" s="59">
        <f t="shared" si="0"/>
        <v>0.25</v>
      </c>
      <c r="E18" s="67">
        <f t="shared" si="4"/>
        <v>0.23040000000000002</v>
      </c>
      <c r="F18" s="68">
        <f t="shared" si="5"/>
        <v>0.25</v>
      </c>
      <c r="G18" s="118">
        <f t="shared" si="6"/>
        <v>0.28800000000000003</v>
      </c>
      <c r="H18" s="70"/>
      <c r="I18" s="173">
        <f t="shared" si="7"/>
        <v>0.23040000000000002</v>
      </c>
      <c r="J18" s="159"/>
      <c r="K18" s="57"/>
      <c r="L18" s="57">
        <f>DCB_2008_02_12!$H$10/1000</f>
        <v>0.064</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66" t="s">
        <v>65</v>
      </c>
      <c r="D19" s="59">
        <f t="shared" si="0"/>
        <v>0.25</v>
      </c>
      <c r="E19" s="67">
        <f t="shared" si="4"/>
        <v>0.9512226210909093</v>
      </c>
      <c r="F19" s="68">
        <f t="shared" si="5"/>
        <v>0.25</v>
      </c>
      <c r="G19" s="118">
        <f t="shared" si="6"/>
        <v>1.1890282763636366</v>
      </c>
      <c r="H19" s="70"/>
      <c r="I19" s="173">
        <f t="shared" si="7"/>
        <v>0.9512226210909093</v>
      </c>
      <c r="J19" s="159">
        <v>0.02</v>
      </c>
      <c r="K19" s="57">
        <f>DCB_2008_02_12!$H$24/1000</f>
        <v>0.10733333333333332</v>
      </c>
      <c r="L19" s="57">
        <f>DCB_2008_02_12!$H$23/1000-L18</f>
        <v>0.17500628363636367</v>
      </c>
      <c r="M19" s="57">
        <f>DCB_2008_02_12!K14/10/1000</f>
        <v>0.0008</v>
      </c>
      <c r="N19" s="144">
        <f>M19</f>
        <v>0.0008</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82" t="s">
        <v>64</v>
      </c>
      <c r="D20" s="83">
        <f t="shared" si="0"/>
        <v>0.15</v>
      </c>
      <c r="E20" s="84">
        <f t="shared" si="4"/>
        <v>2.7880174415999996</v>
      </c>
      <c r="F20" s="135">
        <f t="shared" si="5"/>
        <v>0.15</v>
      </c>
      <c r="G20" s="136">
        <f t="shared" si="6"/>
        <v>3.2062200578399995</v>
      </c>
      <c r="H20" s="70"/>
      <c r="I20" s="173">
        <f t="shared" si="7"/>
        <v>2.7880174415999996</v>
      </c>
      <c r="J20" s="271">
        <f aca="true" t="shared" si="8" ref="J20:AA20">SUM(J6:J19)*$L$25</f>
        <v>0.011000000000000001</v>
      </c>
      <c r="K20" s="272">
        <f t="shared" si="8"/>
        <v>0.19653333333333334</v>
      </c>
      <c r="L20" s="142">
        <f t="shared" si="8"/>
        <v>0.18645345600000002</v>
      </c>
      <c r="M20" s="207">
        <f t="shared" si="8"/>
        <v>0.023815000000000006</v>
      </c>
      <c r="N20" s="207">
        <f t="shared" si="8"/>
        <v>0.030690000000000005</v>
      </c>
      <c r="O20" s="207">
        <f t="shared" si="8"/>
        <v>0.023375000000000003</v>
      </c>
      <c r="P20" s="273">
        <f t="shared" si="8"/>
        <v>0.017325</v>
      </c>
      <c r="Q20" s="271">
        <f t="shared" si="8"/>
        <v>0.0088</v>
      </c>
      <c r="R20" s="207">
        <f t="shared" si="8"/>
        <v>0.0242</v>
      </c>
      <c r="S20" s="207">
        <f t="shared" si="8"/>
        <v>0.018150000000000003</v>
      </c>
      <c r="T20" s="207">
        <f t="shared" si="8"/>
        <v>0.00033</v>
      </c>
      <c r="U20" s="207">
        <f t="shared" si="8"/>
        <v>0.00033</v>
      </c>
      <c r="V20" s="207">
        <f t="shared" si="8"/>
        <v>0.0033000000000000004</v>
      </c>
      <c r="W20" s="207">
        <f t="shared" si="8"/>
        <v>0.0033000000000000004</v>
      </c>
      <c r="X20" s="207">
        <f t="shared" si="8"/>
        <v>0.0033000000000000004</v>
      </c>
      <c r="Y20" s="207">
        <f t="shared" si="8"/>
        <v>0.0033000000000000004</v>
      </c>
      <c r="Z20" s="207">
        <f t="shared" si="8"/>
        <v>0.0033000000000000004</v>
      </c>
      <c r="AA20" s="274">
        <f t="shared" si="8"/>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7.85714006269091</v>
      </c>
      <c r="F22" s="240">
        <f>(G22-E22)/E22</f>
        <v>0.17572975160122745</v>
      </c>
      <c r="G22" s="241">
        <f>SUM(G13+G6)</f>
        <v>9.237873334203636</v>
      </c>
      <c r="H22" s="94"/>
      <c r="I22" s="176">
        <f>SUM(I6:I12)+SUM(I14:I20)</f>
        <v>7.85714006269091</v>
      </c>
      <c r="J22" s="164">
        <v>5</v>
      </c>
      <c r="K22" s="97">
        <v>1.8</v>
      </c>
      <c r="L22" s="97">
        <v>3.6</v>
      </c>
      <c r="M22" s="97">
        <v>5</v>
      </c>
      <c r="N22" s="97">
        <v>5</v>
      </c>
      <c r="O22" s="97">
        <v>10</v>
      </c>
      <c r="P22" s="262">
        <v>10</v>
      </c>
      <c r="Q22" s="268">
        <v>5</v>
      </c>
      <c r="R22" s="97">
        <v>10</v>
      </c>
      <c r="S22" s="97">
        <v>10</v>
      </c>
      <c r="T22" s="97">
        <v>250</v>
      </c>
      <c r="U22" s="97">
        <v>250</v>
      </c>
      <c r="V22" s="97">
        <v>20</v>
      </c>
      <c r="W22" s="97">
        <v>20</v>
      </c>
      <c r="X22" s="97">
        <v>20</v>
      </c>
      <c r="Y22" s="97">
        <v>20</v>
      </c>
      <c r="Z22" s="97">
        <v>20</v>
      </c>
      <c r="AA22" s="165">
        <v>20</v>
      </c>
      <c r="AB22" s="150" t="s">
        <v>80</v>
      </c>
      <c r="AC22" s="99"/>
    </row>
    <row r="23" spans="1:29" s="53" customFormat="1" ht="16.5" thickBot="1">
      <c r="A23" s="100"/>
      <c r="B23" s="63"/>
      <c r="C23" s="101"/>
      <c r="D23" s="242" t="s">
        <v>252</v>
      </c>
      <c r="E23" s="244">
        <f>I54</f>
        <v>14.133483717600006</v>
      </c>
      <c r="F23" s="243">
        <f>F22</f>
        <v>0.17572975160122745</v>
      </c>
      <c r="G23" s="245">
        <f>E23*(1+F23)</f>
        <v>16.61715730055385</v>
      </c>
      <c r="H23" s="94"/>
      <c r="I23" s="177" t="s">
        <v>258</v>
      </c>
      <c r="J23" s="166">
        <f aca="true" t="shared" si="9" ref="J23:AA23">SUM(J6:J12)+SUM(J14:J19)</f>
        <v>0.02</v>
      </c>
      <c r="K23" s="104">
        <f t="shared" si="9"/>
        <v>0.35733333333333334</v>
      </c>
      <c r="L23" s="104">
        <f t="shared" si="9"/>
        <v>0.33900628363636365</v>
      </c>
      <c r="M23" s="104">
        <f t="shared" si="9"/>
        <v>0.043300000000000005</v>
      </c>
      <c r="N23" s="104">
        <f t="shared" si="9"/>
        <v>0.0558</v>
      </c>
      <c r="O23" s="104">
        <f t="shared" si="9"/>
        <v>0.0425</v>
      </c>
      <c r="P23" s="116">
        <f t="shared" si="9"/>
        <v>0.0315</v>
      </c>
      <c r="Q23" s="269">
        <f t="shared" si="9"/>
        <v>0.016</v>
      </c>
      <c r="R23" s="258">
        <f t="shared" si="9"/>
        <v>0.044</v>
      </c>
      <c r="S23" s="104">
        <f t="shared" si="9"/>
        <v>0.033</v>
      </c>
      <c r="T23" s="104">
        <f t="shared" si="9"/>
        <v>0.0006</v>
      </c>
      <c r="U23" s="104">
        <f t="shared" si="9"/>
        <v>0.0006</v>
      </c>
      <c r="V23" s="104">
        <f t="shared" si="9"/>
        <v>0.006</v>
      </c>
      <c r="W23" s="104">
        <f t="shared" si="9"/>
        <v>0.006</v>
      </c>
      <c r="X23" s="104">
        <f t="shared" si="9"/>
        <v>0.006</v>
      </c>
      <c r="Y23" s="104">
        <f t="shared" si="9"/>
        <v>0.006</v>
      </c>
      <c r="Z23" s="104">
        <f t="shared" si="9"/>
        <v>0.006</v>
      </c>
      <c r="AA23" s="167">
        <f t="shared" si="9"/>
        <v>0.006</v>
      </c>
      <c r="AB23" s="150" t="s">
        <v>81</v>
      </c>
      <c r="AC23" s="99"/>
    </row>
    <row r="24" spans="1:29" s="53" customFormat="1" ht="16.5" thickBot="1">
      <c r="A24"/>
      <c r="B24" s="66"/>
      <c r="H24" s="105"/>
      <c r="I24" s="178"/>
      <c r="J24" s="168">
        <f aca="true" t="shared" si="10" ref="J24:AA24">J22*J23</f>
        <v>0.1</v>
      </c>
      <c r="K24" s="181">
        <f t="shared" si="10"/>
        <v>0.6432</v>
      </c>
      <c r="L24" s="169">
        <f t="shared" si="10"/>
        <v>1.2204226210909093</v>
      </c>
      <c r="M24" s="169">
        <f t="shared" si="10"/>
        <v>0.21650000000000003</v>
      </c>
      <c r="N24" s="169">
        <f t="shared" si="10"/>
        <v>0.279</v>
      </c>
      <c r="O24" s="169">
        <f t="shared" si="10"/>
        <v>0.42500000000000004</v>
      </c>
      <c r="P24" s="263">
        <f t="shared" si="10"/>
        <v>0.315</v>
      </c>
      <c r="Q24" s="270">
        <f t="shared" si="10"/>
        <v>0.08</v>
      </c>
      <c r="R24" s="169">
        <f t="shared" si="10"/>
        <v>0.43999999999999995</v>
      </c>
      <c r="S24" s="169">
        <f t="shared" si="10"/>
        <v>0.33</v>
      </c>
      <c r="T24" s="169">
        <f t="shared" si="10"/>
        <v>0.15</v>
      </c>
      <c r="U24" s="169">
        <f t="shared" si="10"/>
        <v>0.15</v>
      </c>
      <c r="V24" s="169">
        <f t="shared" si="10"/>
        <v>0.12</v>
      </c>
      <c r="W24" s="169">
        <f t="shared" si="10"/>
        <v>0.12</v>
      </c>
      <c r="X24" s="169">
        <f t="shared" si="10"/>
        <v>0.12</v>
      </c>
      <c r="Y24" s="169">
        <f t="shared" si="10"/>
        <v>0.12</v>
      </c>
      <c r="Z24" s="169">
        <f t="shared" si="10"/>
        <v>0.12</v>
      </c>
      <c r="AA24" s="170">
        <f t="shared" si="10"/>
        <v>0.12</v>
      </c>
      <c r="AB24" s="151" t="s">
        <v>4</v>
      </c>
      <c r="AC24" s="110"/>
    </row>
    <row r="25" spans="1:29" s="53" customFormat="1" ht="15" outlineLevel="1">
      <c r="A25"/>
      <c r="B25" s="39"/>
      <c r="C25" s="63"/>
      <c r="D25" s="63"/>
      <c r="E25" s="112"/>
      <c r="F25" s="112"/>
      <c r="G25" s="112"/>
      <c r="H25" s="94"/>
      <c r="I25" s="1" t="s">
        <v>82</v>
      </c>
      <c r="L25" s="112">
        <v>0.55</v>
      </c>
      <c r="M25" s="113"/>
      <c r="N25" s="79" t="s">
        <v>261</v>
      </c>
      <c r="P25" s="79">
        <f>1/(1+L25)</f>
        <v>0.6451612903225806</v>
      </c>
      <c r="Q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9.237873334203636</v>
      </c>
      <c r="C28" s="131">
        <f>G23/B33</f>
        <v>0.7553253318433568</v>
      </c>
      <c r="D28" s="450" t="s">
        <v>253</v>
      </c>
      <c r="E28" s="450"/>
      <c r="F28" s="450"/>
      <c r="G28" s="450"/>
      <c r="H28" s="450"/>
      <c r="I28"/>
      <c r="M28" s="139"/>
    </row>
    <row r="29" spans="1:21" ht="12.75" outlineLevel="1">
      <c r="A29" s="132" t="s">
        <v>98</v>
      </c>
      <c r="B29" s="21">
        <f>B28/2</f>
        <v>4.618936667101818</v>
      </c>
      <c r="C29" s="131">
        <f>35/F39</f>
        <v>0.33401401518298274</v>
      </c>
      <c r="D29" s="449" t="s">
        <v>114</v>
      </c>
      <c r="E29" s="450"/>
      <c r="F29" s="450"/>
      <c r="G29" s="450"/>
      <c r="H29" s="450"/>
      <c r="L29" s="139"/>
      <c r="U29" s="113"/>
    </row>
    <row r="30" spans="1:9" ht="12.75" outlineLevel="1">
      <c r="A30" s="132" t="s">
        <v>99</v>
      </c>
      <c r="B30" s="21">
        <f>C38</f>
        <v>0.3372727272727272</v>
      </c>
      <c r="C30" s="21">
        <f>MAX(C36:C38)</f>
        <v>2</v>
      </c>
      <c r="D30" s="449" t="s">
        <v>115</v>
      </c>
      <c r="E30" s="450"/>
      <c r="F30" s="450"/>
      <c r="G30" s="450"/>
      <c r="H30" s="450"/>
      <c r="I30" s="79"/>
    </row>
    <row r="31" spans="1:13" ht="12.75" outlineLevel="1">
      <c r="A31" s="132" t="s">
        <v>100</v>
      </c>
      <c r="B31" s="21">
        <f>C38/2</f>
        <v>0.1686363636363636</v>
      </c>
      <c r="C31" s="21">
        <f>MAX(C36:C38)</f>
        <v>2</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106</v>
      </c>
      <c r="B36" s="2"/>
      <c r="C36" s="130">
        <f>B34/F36</f>
        <v>1.1290322580645162</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110</v>
      </c>
      <c r="B37" s="2"/>
      <c r="C37" s="128">
        <v>2</v>
      </c>
      <c r="D37" s="127" t="s">
        <v>111</v>
      </c>
      <c r="E37" s="113"/>
      <c r="F37" s="129">
        <f>B34/C37</f>
        <v>17.5</v>
      </c>
      <c r="G37" s="113" t="s">
        <v>102</v>
      </c>
      <c r="I37" s="171" t="s">
        <v>46</v>
      </c>
      <c r="J37" s="152" t="s">
        <v>47</v>
      </c>
      <c r="K37" s="179" t="s">
        <v>119</v>
      </c>
      <c r="L37" s="153" t="s">
        <v>48</v>
      </c>
      <c r="M37" s="153" t="s">
        <v>49</v>
      </c>
      <c r="N37" s="153" t="s">
        <v>50</v>
      </c>
      <c r="O37" s="153" t="s">
        <v>129</v>
      </c>
      <c r="P37" s="259" t="s">
        <v>131</v>
      </c>
      <c r="Q37" s="264" t="s">
        <v>47</v>
      </c>
      <c r="R37" s="153" t="s">
        <v>53</v>
      </c>
      <c r="S37" s="153" t="s">
        <v>54</v>
      </c>
      <c r="T37" s="153" t="s">
        <v>126</v>
      </c>
      <c r="U37" s="153" t="s">
        <v>127</v>
      </c>
      <c r="V37" s="153" t="s">
        <v>56</v>
      </c>
      <c r="W37" s="153" t="s">
        <v>57</v>
      </c>
      <c r="X37" s="153" t="s">
        <v>58</v>
      </c>
      <c r="Y37" s="153" t="s">
        <v>59</v>
      </c>
      <c r="Z37" s="153" t="s">
        <v>60</v>
      </c>
      <c r="AA37" s="154" t="s">
        <v>61</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4"/>
      <c r="Q38" s="426" t="s">
        <v>5</v>
      </c>
      <c r="R38" s="424"/>
      <c r="S38" s="424"/>
      <c r="T38" s="424"/>
      <c r="U38" s="424"/>
      <c r="V38" s="424"/>
      <c r="W38" s="424"/>
      <c r="X38" s="424"/>
      <c r="Y38" s="424"/>
      <c r="Z38" s="424"/>
      <c r="AA38" s="425"/>
      <c r="AB38" s="146"/>
      <c r="AC38" s="52"/>
    </row>
    <row r="39" spans="1:29" ht="12.75" outlineLevel="1">
      <c r="A39" s="79" t="s">
        <v>113</v>
      </c>
      <c r="C39" s="125">
        <f>B34/F39</f>
        <v>0.33401401518298274</v>
      </c>
      <c r="D39" s="127" t="s">
        <v>111</v>
      </c>
      <c r="E39" s="113"/>
      <c r="F39" s="126">
        <f>22/(G22/2/22)</f>
        <v>104.7860221698361</v>
      </c>
      <c r="G39" s="113" t="s">
        <v>102</v>
      </c>
      <c r="I39" s="173">
        <f aca="true" t="shared" si="11" ref="I39:I44">J39*J$22+K39*K$22+L39*L$22+M39*M$22+N39*N$22+O39*O$22+P39*P$22+Q39*Q$22+R39*R$22+S39*S$22+T39*T$22+U39*U$22+V39*V$22+W39*W$22+X39*X$22+Y39*Y$22+Z39*Z$22+AA39*AA$22</f>
        <v>0.12</v>
      </c>
      <c r="J39" s="64"/>
      <c r="K39" s="56"/>
      <c r="L39" s="56"/>
      <c r="M39" s="56"/>
      <c r="N39" s="56"/>
      <c r="O39" s="56"/>
      <c r="P39" s="254"/>
      <c r="Q39" s="88"/>
      <c r="R39" s="86"/>
      <c r="S39" s="56"/>
      <c r="T39" s="56"/>
      <c r="U39" s="254"/>
      <c r="V39" s="255">
        <f>V7*1.5</f>
        <v>0.006</v>
      </c>
      <c r="W39" s="57"/>
      <c r="X39" s="57"/>
      <c r="Y39" s="57"/>
      <c r="Z39" s="57"/>
      <c r="AA39" s="155"/>
      <c r="AB39" s="147">
        <f>0.1</f>
        <v>0.1</v>
      </c>
      <c r="AC39" s="60">
        <v>2</v>
      </c>
    </row>
    <row r="40" spans="9:29" ht="12.75" outlineLevel="1">
      <c r="I40" s="173">
        <f t="shared" si="11"/>
        <v>0.12</v>
      </c>
      <c r="J40" s="64"/>
      <c r="K40" s="56"/>
      <c r="L40" s="56"/>
      <c r="M40" s="56"/>
      <c r="N40" s="56"/>
      <c r="O40" s="56"/>
      <c r="P40" s="254"/>
      <c r="Q40" s="88"/>
      <c r="R40" s="56"/>
      <c r="S40" s="56"/>
      <c r="T40" s="56"/>
      <c r="U40" s="56"/>
      <c r="V40" s="144"/>
      <c r="W40" s="251">
        <f>W8*1.5</f>
        <v>0.006</v>
      </c>
      <c r="X40" s="57"/>
      <c r="Y40" s="57"/>
      <c r="Z40" s="57"/>
      <c r="AA40" s="155"/>
      <c r="AB40" s="147">
        <f>0.1</f>
        <v>0.1</v>
      </c>
      <c r="AC40" s="60">
        <v>2</v>
      </c>
    </row>
    <row r="41" spans="9:29" ht="12.75" outlineLevel="1">
      <c r="I41" s="173">
        <f t="shared" si="11"/>
        <v>0.12</v>
      </c>
      <c r="J41" s="64"/>
      <c r="K41" s="56"/>
      <c r="L41" s="56"/>
      <c r="M41" s="56"/>
      <c r="N41" s="56"/>
      <c r="O41" s="56"/>
      <c r="P41" s="254"/>
      <c r="Q41" s="88"/>
      <c r="R41" s="56"/>
      <c r="S41" s="56"/>
      <c r="T41" s="56"/>
      <c r="U41" s="56"/>
      <c r="V41" s="57"/>
      <c r="W41" s="144"/>
      <c r="X41" s="251">
        <f>X9*1.5</f>
        <v>0.006</v>
      </c>
      <c r="Y41" s="57"/>
      <c r="Z41" s="57"/>
      <c r="AA41" s="155"/>
      <c r="AB41" s="147">
        <f>0.1</f>
        <v>0.1</v>
      </c>
      <c r="AC41" s="60">
        <v>2</v>
      </c>
    </row>
    <row r="42" spans="9:29" ht="12.75" outlineLevel="1">
      <c r="I42" s="173">
        <f t="shared" si="11"/>
        <v>0.12</v>
      </c>
      <c r="J42" s="64"/>
      <c r="K42" s="56"/>
      <c r="L42" s="56"/>
      <c r="M42" s="56"/>
      <c r="N42" s="56"/>
      <c r="O42" s="56"/>
      <c r="P42" s="254"/>
      <c r="Q42" s="88"/>
      <c r="R42" s="56"/>
      <c r="S42" s="56"/>
      <c r="T42" s="56"/>
      <c r="U42" s="56"/>
      <c r="V42" s="57"/>
      <c r="W42" s="57"/>
      <c r="X42" s="144"/>
      <c r="Y42" s="251">
        <f>Y10*1.5</f>
        <v>0.006</v>
      </c>
      <c r="Z42" s="57"/>
      <c r="AA42" s="155"/>
      <c r="AB42" s="147">
        <f>0.1</f>
        <v>0.1</v>
      </c>
      <c r="AC42" s="60">
        <v>2</v>
      </c>
    </row>
    <row r="43" spans="9:29" ht="12.75" outlineLevel="1">
      <c r="I43" s="173">
        <f t="shared" si="11"/>
        <v>0.12</v>
      </c>
      <c r="J43" s="64"/>
      <c r="K43" s="56"/>
      <c r="L43" s="56"/>
      <c r="M43" s="56"/>
      <c r="N43" s="56"/>
      <c r="O43" s="56"/>
      <c r="P43" s="254"/>
      <c r="Q43" s="88"/>
      <c r="R43" s="56"/>
      <c r="S43" s="56"/>
      <c r="T43" s="56"/>
      <c r="U43" s="56"/>
      <c r="V43" s="57"/>
      <c r="W43" s="57"/>
      <c r="X43" s="57"/>
      <c r="Y43" s="144"/>
      <c r="Z43" s="251">
        <f>Z11*1.5</f>
        <v>0.006</v>
      </c>
      <c r="AA43" s="155"/>
      <c r="AB43" s="147">
        <f>28/31</f>
        <v>0.9032258064516129</v>
      </c>
      <c r="AC43" s="60"/>
    </row>
    <row r="44" spans="9:29" ht="12.75" outlineLevel="1">
      <c r="I44" s="173">
        <f t="shared" si="11"/>
        <v>0.12</v>
      </c>
      <c r="J44" s="64"/>
      <c r="K44" s="56"/>
      <c r="L44" s="56"/>
      <c r="M44" s="56"/>
      <c r="N44" s="56"/>
      <c r="O44" s="56"/>
      <c r="P44" s="254"/>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260"/>
      <c r="Q45" s="265"/>
      <c r="R45" s="51"/>
      <c r="S45" s="51"/>
      <c r="T45" s="51"/>
      <c r="U45" s="51"/>
      <c r="V45" s="51"/>
      <c r="W45" s="51"/>
      <c r="X45" s="51"/>
      <c r="Y45" s="51"/>
      <c r="Z45" s="51"/>
      <c r="AA45" s="157"/>
      <c r="AB45" s="146"/>
      <c r="AC45" s="52"/>
    </row>
    <row r="46" spans="8:29" ht="12.75" outlineLevel="1">
      <c r="H46" s="248" t="s">
        <v>255</v>
      </c>
      <c r="I46" s="173">
        <f aca="true" t="shared" si="12" ref="I46:I52">J46*J$22+K46*K$22+L46*L$22+M46*M$22+N46*N$22+O46*O$22+P46*P$22+Q46*Q$22+R46*R$22+S46*S$22+T46*T$22+U46*U$22+V46*V$22+W46*W$22+X46*X$22+Y46*Y$22+Z46*Z$22+AA46*AA$22</f>
        <v>3.06</v>
      </c>
      <c r="J46" s="275">
        <f aca="true" t="shared" si="13" ref="J46:P46">J14*2</f>
        <v>0</v>
      </c>
      <c r="K46" s="277">
        <f t="shared" si="13"/>
        <v>0.5</v>
      </c>
      <c r="L46" s="278">
        <f t="shared" si="13"/>
        <v>0.2</v>
      </c>
      <c r="M46" s="277">
        <f t="shared" si="13"/>
        <v>0.08</v>
      </c>
      <c r="N46" s="277">
        <f t="shared" si="13"/>
        <v>0.1</v>
      </c>
      <c r="O46" s="278">
        <f t="shared" si="13"/>
        <v>0.033</v>
      </c>
      <c r="P46" s="277">
        <f t="shared" si="13"/>
        <v>0.021</v>
      </c>
      <c r="Q46" s="275"/>
      <c r="R46" s="143"/>
      <c r="S46" s="143"/>
      <c r="T46" s="57"/>
      <c r="U46" s="57"/>
      <c r="V46" s="57"/>
      <c r="W46" s="57"/>
      <c r="X46" s="57"/>
      <c r="Y46" s="57"/>
      <c r="Z46" s="57"/>
      <c r="AA46" s="155"/>
      <c r="AB46" s="148"/>
      <c r="AC46" s="58"/>
    </row>
    <row r="47" spans="9:29" ht="12.75" outlineLevel="1">
      <c r="I47" s="173">
        <f t="shared" si="12"/>
        <v>0.54</v>
      </c>
      <c r="J47" s="159"/>
      <c r="K47" s="57"/>
      <c r="L47" s="57"/>
      <c r="M47" s="144"/>
      <c r="N47" s="144"/>
      <c r="O47" s="182"/>
      <c r="P47" s="261"/>
      <c r="Q47" s="267"/>
      <c r="R47" s="253">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2"/>
        <v>1.5450000000000004</v>
      </c>
      <c r="J48" s="250"/>
      <c r="K48" s="251"/>
      <c r="L48" s="57"/>
      <c r="M48" s="144"/>
      <c r="N48" s="144"/>
      <c r="O48" s="182"/>
      <c r="P48" s="261"/>
      <c r="Q48" s="250">
        <f>Q16*1.5</f>
        <v>0.024</v>
      </c>
      <c r="R48" s="253">
        <f>R16*1.5</f>
        <v>0.039</v>
      </c>
      <c r="S48" s="251">
        <f>S16*1.5</f>
        <v>0.0225</v>
      </c>
      <c r="T48" s="253">
        <f aca="true" t="shared" si="14" ref="T48:AA48">T16*1.5</f>
        <v>0.0009</v>
      </c>
      <c r="U48" s="253">
        <f t="shared" si="14"/>
        <v>0.0009</v>
      </c>
      <c r="V48" s="251">
        <f t="shared" si="14"/>
        <v>0.003</v>
      </c>
      <c r="W48" s="253">
        <f t="shared" si="14"/>
        <v>0.003</v>
      </c>
      <c r="X48" s="251">
        <f t="shared" si="14"/>
        <v>0.003</v>
      </c>
      <c r="Y48" s="251">
        <f t="shared" si="14"/>
        <v>0.003</v>
      </c>
      <c r="Z48" s="251">
        <f t="shared" si="14"/>
        <v>0.003</v>
      </c>
      <c r="AA48" s="252">
        <f t="shared" si="14"/>
        <v>0.003</v>
      </c>
      <c r="AB48" s="148"/>
      <c r="AC48" s="58"/>
    </row>
    <row r="49" spans="9:29" ht="12.75" outlineLevel="1">
      <c r="I49" s="173">
        <f t="shared" si="12"/>
        <v>0.73125</v>
      </c>
      <c r="J49" s="159"/>
      <c r="K49" s="57"/>
      <c r="L49" s="144"/>
      <c r="M49" s="253">
        <f>M17*1.5</f>
        <v>0.00375</v>
      </c>
      <c r="N49" s="253">
        <f>N17*1.5</f>
        <v>0.0075</v>
      </c>
      <c r="O49" s="251">
        <f>O17*1.5</f>
        <v>0.037500000000000006</v>
      </c>
      <c r="P49" s="253">
        <f>P17*1.5</f>
        <v>0.03</v>
      </c>
      <c r="Q49" s="250"/>
      <c r="R49" s="143"/>
      <c r="S49" s="143"/>
      <c r="T49" s="57"/>
      <c r="U49" s="57"/>
      <c r="V49" s="57"/>
      <c r="W49" s="57"/>
      <c r="X49" s="57"/>
      <c r="Y49" s="57"/>
      <c r="Z49" s="57"/>
      <c r="AA49" s="155"/>
      <c r="AB49" s="148"/>
      <c r="AC49" s="58"/>
    </row>
    <row r="50" spans="9:29" ht="12.75" outlineLevel="1">
      <c r="I50" s="173">
        <f t="shared" si="12"/>
        <v>0.3456</v>
      </c>
      <c r="J50" s="159"/>
      <c r="K50" s="57"/>
      <c r="L50" s="143">
        <f>DCB_2008_02_12!G10/1000</f>
        <v>0.096</v>
      </c>
      <c r="M50" s="144"/>
      <c r="N50" s="144"/>
      <c r="O50" s="57"/>
      <c r="P50" s="144"/>
      <c r="Q50" s="266"/>
      <c r="R50" s="57"/>
      <c r="S50" s="57"/>
      <c r="T50" s="57"/>
      <c r="U50" s="57"/>
      <c r="V50" s="57"/>
      <c r="W50" s="57"/>
      <c r="X50" s="57"/>
      <c r="Y50" s="57"/>
      <c r="Z50" s="57"/>
      <c r="AA50" s="155"/>
      <c r="AB50" s="148"/>
      <c r="AC50" s="58"/>
    </row>
    <row r="51" spans="8:29" ht="12.75" outlineLevel="1">
      <c r="H51" s="248" t="s">
        <v>254</v>
      </c>
      <c r="I51" s="173">
        <f t="shared" si="12"/>
        <v>2.176526592</v>
      </c>
      <c r="J51" s="246">
        <f>J19*1.5</f>
        <v>0.03</v>
      </c>
      <c r="K51" s="143">
        <f>DCB_2008_02_12!G24/1000</f>
        <v>0.21466666666666664</v>
      </c>
      <c r="L51" s="143">
        <f>DCB_2008_02_12!G23/1000-L50</f>
        <v>0.4439240533333334</v>
      </c>
      <c r="M51" s="237">
        <f>DCB_2008_02_12!J14/10/1000</f>
        <v>0.0012</v>
      </c>
      <c r="N51" s="279">
        <f>M51</f>
        <v>0.0012</v>
      </c>
      <c r="O51" s="280">
        <f>O19*1.5</f>
        <v>0.0015</v>
      </c>
      <c r="P51" s="281">
        <f>P19*1.5</f>
        <v>0.0015</v>
      </c>
      <c r="Q51" s="250"/>
      <c r="R51" s="57"/>
      <c r="S51" s="57"/>
      <c r="T51" s="57"/>
      <c r="U51" s="57"/>
      <c r="V51" s="57"/>
      <c r="W51" s="57"/>
      <c r="X51" s="57"/>
      <c r="Y51" s="57"/>
      <c r="Z51" s="57"/>
      <c r="AA51" s="155"/>
      <c r="AB51" s="148"/>
      <c r="AC51" s="58"/>
    </row>
    <row r="52" spans="9:29" ht="12.75" outlineLevel="1">
      <c r="I52" s="173">
        <f t="shared" si="12"/>
        <v>5.015107125600003</v>
      </c>
      <c r="J52" s="271">
        <f aca="true" t="shared" si="15" ref="J52:AA52">SUM(J38:J51)*$L$25</f>
        <v>0.0165</v>
      </c>
      <c r="K52" s="272">
        <f t="shared" si="15"/>
        <v>0.3930666666666667</v>
      </c>
      <c r="L52" s="142">
        <f t="shared" si="15"/>
        <v>0.4069582293333334</v>
      </c>
      <c r="M52" s="207">
        <f t="shared" si="15"/>
        <v>0.04672250000000001</v>
      </c>
      <c r="N52" s="207">
        <f t="shared" si="15"/>
        <v>0.05978500000000001</v>
      </c>
      <c r="O52" s="207">
        <f t="shared" si="15"/>
        <v>0.03960000000000001</v>
      </c>
      <c r="P52" s="273">
        <f t="shared" si="15"/>
        <v>0.028875000000000005</v>
      </c>
      <c r="Q52" s="271">
        <f t="shared" si="15"/>
        <v>0.013200000000000002</v>
      </c>
      <c r="R52" s="207">
        <f t="shared" si="15"/>
        <v>0.036300000000000006</v>
      </c>
      <c r="S52" s="207">
        <f t="shared" si="15"/>
        <v>0.027225000000000003</v>
      </c>
      <c r="T52" s="207">
        <f t="shared" si="15"/>
        <v>0.000495</v>
      </c>
      <c r="U52" s="207">
        <f t="shared" si="15"/>
        <v>0.000495</v>
      </c>
      <c r="V52" s="207">
        <f t="shared" si="15"/>
        <v>0.004950000000000001</v>
      </c>
      <c r="W52" s="207">
        <f t="shared" si="15"/>
        <v>0.004950000000000001</v>
      </c>
      <c r="X52" s="207">
        <f t="shared" si="15"/>
        <v>0.004950000000000001</v>
      </c>
      <c r="Y52" s="207">
        <f t="shared" si="15"/>
        <v>0.004950000000000001</v>
      </c>
      <c r="Z52" s="207">
        <f t="shared" si="15"/>
        <v>0.004950000000000001</v>
      </c>
      <c r="AA52" s="274">
        <f t="shared" si="15"/>
        <v>0.004950000000000001</v>
      </c>
      <c r="AB52" s="149"/>
      <c r="AC52" s="87"/>
    </row>
    <row r="53" spans="9:29" ht="12.75" outlineLevel="1">
      <c r="I53" s="175"/>
      <c r="J53" s="162"/>
      <c r="K53" s="89"/>
      <c r="L53" s="89"/>
      <c r="M53" s="89"/>
      <c r="N53" s="89"/>
      <c r="O53" s="89"/>
      <c r="P53" s="89"/>
      <c r="Q53" s="162"/>
      <c r="R53" s="257"/>
      <c r="S53" s="89"/>
      <c r="T53" s="89"/>
      <c r="U53" s="89"/>
      <c r="V53" s="89"/>
      <c r="W53" s="89"/>
      <c r="X53" s="89"/>
      <c r="Y53" s="89"/>
      <c r="Z53" s="89"/>
      <c r="AA53" s="163"/>
      <c r="AB53" s="90"/>
      <c r="AC53" s="90"/>
    </row>
    <row r="54" spans="9:29" ht="15">
      <c r="I54" s="176">
        <f>SUM(I38:I44)+SUM(I46:I52)</f>
        <v>14.133483717600006</v>
      </c>
      <c r="J54" s="164">
        <f>J22</f>
        <v>5</v>
      </c>
      <c r="K54" s="97">
        <f>K22</f>
        <v>1.8</v>
      </c>
      <c r="L54" s="97">
        <f aca="true" t="shared" si="16" ref="L54:AA54">L22</f>
        <v>3.6</v>
      </c>
      <c r="M54" s="97">
        <f t="shared" si="16"/>
        <v>5</v>
      </c>
      <c r="N54" s="97">
        <f t="shared" si="16"/>
        <v>5</v>
      </c>
      <c r="O54" s="97">
        <f t="shared" si="16"/>
        <v>10</v>
      </c>
      <c r="P54" s="262">
        <f t="shared" si="16"/>
        <v>10</v>
      </c>
      <c r="Q54" s="164">
        <f t="shared" si="16"/>
        <v>5</v>
      </c>
      <c r="R54" s="97">
        <f t="shared" si="16"/>
        <v>10</v>
      </c>
      <c r="S54" s="97">
        <f t="shared" si="16"/>
        <v>10</v>
      </c>
      <c r="T54" s="97">
        <f t="shared" si="16"/>
        <v>250</v>
      </c>
      <c r="U54" s="97">
        <f t="shared" si="16"/>
        <v>250</v>
      </c>
      <c r="V54" s="97">
        <f t="shared" si="16"/>
        <v>20</v>
      </c>
      <c r="W54" s="97">
        <f t="shared" si="16"/>
        <v>20</v>
      </c>
      <c r="X54" s="97">
        <f t="shared" si="16"/>
        <v>20</v>
      </c>
      <c r="Y54" s="97">
        <f t="shared" si="16"/>
        <v>20</v>
      </c>
      <c r="Z54" s="97">
        <f t="shared" si="16"/>
        <v>20</v>
      </c>
      <c r="AA54" s="165">
        <f t="shared" si="16"/>
        <v>20</v>
      </c>
      <c r="AB54" s="150" t="s">
        <v>80</v>
      </c>
      <c r="AC54" s="99"/>
    </row>
    <row r="55" spans="9:29" ht="15">
      <c r="I55" s="177" t="s">
        <v>252</v>
      </c>
      <c r="J55" s="166">
        <f aca="true" t="shared" si="17" ref="J55:AA55">SUM(J38:J44)+SUM(J46:J51)</f>
        <v>0.03</v>
      </c>
      <c r="K55" s="104">
        <f t="shared" si="17"/>
        <v>0.7146666666666667</v>
      </c>
      <c r="L55" s="104">
        <f t="shared" si="17"/>
        <v>0.7399240533333334</v>
      </c>
      <c r="M55" s="104">
        <f t="shared" si="17"/>
        <v>0.08495000000000001</v>
      </c>
      <c r="N55" s="104">
        <f t="shared" si="17"/>
        <v>0.10870000000000002</v>
      </c>
      <c r="O55" s="104">
        <f t="shared" si="17"/>
        <v>0.07200000000000001</v>
      </c>
      <c r="P55" s="116">
        <f t="shared" si="17"/>
        <v>0.052500000000000005</v>
      </c>
      <c r="Q55" s="166">
        <f t="shared" si="17"/>
        <v>0.024</v>
      </c>
      <c r="R55" s="258">
        <f t="shared" si="17"/>
        <v>0.066</v>
      </c>
      <c r="S55" s="104">
        <f t="shared" si="17"/>
        <v>0.0495</v>
      </c>
      <c r="T55" s="104">
        <f t="shared" si="17"/>
        <v>0.0009</v>
      </c>
      <c r="U55" s="104">
        <f t="shared" si="17"/>
        <v>0.0009</v>
      </c>
      <c r="V55" s="104">
        <f t="shared" si="17"/>
        <v>0.009000000000000001</v>
      </c>
      <c r="W55" s="104">
        <f t="shared" si="17"/>
        <v>0.009000000000000001</v>
      </c>
      <c r="X55" s="104">
        <f t="shared" si="17"/>
        <v>0.009000000000000001</v>
      </c>
      <c r="Y55" s="104">
        <f t="shared" si="17"/>
        <v>0.009000000000000001</v>
      </c>
      <c r="Z55" s="104">
        <f t="shared" si="17"/>
        <v>0.009000000000000001</v>
      </c>
      <c r="AA55" s="167">
        <f t="shared" si="17"/>
        <v>0.009000000000000001</v>
      </c>
      <c r="AB55" s="150" t="s">
        <v>81</v>
      </c>
      <c r="AC55" s="99"/>
    </row>
    <row r="56" spans="9:29" ht="15.75" thickBot="1">
      <c r="I56" s="178"/>
      <c r="J56" s="168">
        <f aca="true" t="shared" si="18" ref="J56:AA56">J54*J55</f>
        <v>0.15</v>
      </c>
      <c r="K56" s="181">
        <f t="shared" si="18"/>
        <v>1.2864</v>
      </c>
      <c r="L56" s="169">
        <f t="shared" si="18"/>
        <v>2.6637265920000006</v>
      </c>
      <c r="M56" s="169">
        <f t="shared" si="18"/>
        <v>0.42475000000000007</v>
      </c>
      <c r="N56" s="169">
        <f t="shared" si="18"/>
        <v>0.5435000000000001</v>
      </c>
      <c r="O56" s="169">
        <f t="shared" si="18"/>
        <v>0.7200000000000001</v>
      </c>
      <c r="P56" s="263">
        <f t="shared" si="18"/>
        <v>0.525</v>
      </c>
      <c r="Q56" s="168">
        <f t="shared" si="18"/>
        <v>0.12</v>
      </c>
      <c r="R56" s="169">
        <f t="shared" si="18"/>
        <v>0.66</v>
      </c>
      <c r="S56" s="169">
        <f t="shared" si="18"/>
        <v>0.495</v>
      </c>
      <c r="T56" s="169">
        <f t="shared" si="18"/>
        <v>0.225</v>
      </c>
      <c r="U56" s="169">
        <f t="shared" si="18"/>
        <v>0.225</v>
      </c>
      <c r="V56" s="169">
        <f t="shared" si="18"/>
        <v>0.18000000000000002</v>
      </c>
      <c r="W56" s="169">
        <f t="shared" si="18"/>
        <v>0.18000000000000002</v>
      </c>
      <c r="X56" s="169">
        <f t="shared" si="18"/>
        <v>0.18000000000000002</v>
      </c>
      <c r="Y56" s="169">
        <f t="shared" si="18"/>
        <v>0.18000000000000002</v>
      </c>
      <c r="Z56" s="169">
        <f t="shared" si="18"/>
        <v>0.18000000000000002</v>
      </c>
      <c r="AA56" s="170">
        <f t="shared" si="18"/>
        <v>0.18000000000000002</v>
      </c>
      <c r="AB56" s="151" t="s">
        <v>4</v>
      </c>
      <c r="AC56" s="110"/>
    </row>
    <row r="58" ht="12.75">
      <c r="L58" s="139"/>
    </row>
  </sheetData>
  <mergeCells count="16">
    <mergeCell ref="D31:H31"/>
    <mergeCell ref="D27:H27"/>
    <mergeCell ref="D28:H28"/>
    <mergeCell ref="D29:H29"/>
    <mergeCell ref="D30:H30"/>
    <mergeCell ref="A3:A5"/>
    <mergeCell ref="E3:G4"/>
    <mergeCell ref="B3:D4"/>
    <mergeCell ref="J3:AC4"/>
    <mergeCell ref="I3:I4"/>
    <mergeCell ref="Q6:AA6"/>
    <mergeCell ref="Q38:AA38"/>
    <mergeCell ref="I35:I36"/>
    <mergeCell ref="J35:AC36"/>
    <mergeCell ref="J38:P38"/>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2.xml><?xml version="1.0" encoding="utf-8"?>
<worksheet xmlns="http://schemas.openxmlformats.org/spreadsheetml/2006/main" xmlns:r="http://schemas.openxmlformats.org/officeDocument/2006/relationships">
  <sheetPr>
    <outlinePr summaryBelow="0"/>
    <pageSetUpPr fitToPage="1"/>
  </sheetPr>
  <dimension ref="A1:AC58"/>
  <sheetViews>
    <sheetView zoomScaleSheetLayoutView="100" workbookViewId="0" topLeftCell="A28">
      <selection activeCell="E43" sqref="E43"/>
    </sheetView>
  </sheetViews>
  <sheetFormatPr defaultColWidth="9.140625" defaultRowHeight="12.75" outlineLevelRow="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259" t="s">
        <v>131</v>
      </c>
      <c r="Q5" s="264" t="s">
        <v>47</v>
      </c>
      <c r="R5" s="153" t="s">
        <v>53</v>
      </c>
      <c r="S5" s="153" t="s">
        <v>54</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172"/>
      <c r="J6" s="426" t="s">
        <v>128</v>
      </c>
      <c r="K6" s="424"/>
      <c r="L6" s="424"/>
      <c r="M6" s="424"/>
      <c r="N6" s="424"/>
      <c r="O6" s="424"/>
      <c r="P6" s="424"/>
      <c r="Q6" s="426" t="s">
        <v>5</v>
      </c>
      <c r="R6" s="424"/>
      <c r="S6" s="424"/>
      <c r="T6" s="424"/>
      <c r="U6" s="424"/>
      <c r="V6" s="424"/>
      <c r="W6" s="424"/>
      <c r="X6" s="424"/>
      <c r="Y6" s="424"/>
      <c r="Z6" s="424"/>
      <c r="AA6" s="425"/>
      <c r="AB6" s="146"/>
      <c r="AC6" s="52"/>
    </row>
    <row r="7" spans="1:29" ht="12.75" outlineLevel="1">
      <c r="A7" s="64" t="s">
        <v>67</v>
      </c>
      <c r="B7" s="65" t="s">
        <v>13</v>
      </c>
      <c r="C7" s="66" t="s">
        <v>64</v>
      </c>
      <c r="D7" s="59">
        <f t="shared" si="0"/>
        <v>0.15</v>
      </c>
      <c r="E7" s="67">
        <f aca="true" t="shared" si="2" ref="E7:E12">I7</f>
        <v>0.08</v>
      </c>
      <c r="F7" s="68">
        <f t="shared" si="1"/>
        <v>0.25000000000000006</v>
      </c>
      <c r="G7" s="69">
        <v>0.1</v>
      </c>
      <c r="H7" s="70"/>
      <c r="I7" s="173">
        <f>J7*J$22+K7*K$22+L7*L$22+M7*M$22+N7*N$22+O7*O$22+P7*P$22+Q7*Q$22+R7*R$22+S7*S$22+T7*T$22+U7*U$22+V7*V$22+W7*W$22+X7*X$22+Y7*Y$22+Z7*Z$22+AA7*AA$22</f>
        <v>0.08</v>
      </c>
      <c r="J7" s="64"/>
      <c r="K7" s="56"/>
      <c r="L7" s="56"/>
      <c r="M7" s="56"/>
      <c r="N7" s="56"/>
      <c r="O7" s="56"/>
      <c r="P7" s="254"/>
      <c r="Q7" s="88"/>
      <c r="R7" s="86"/>
      <c r="S7" s="56"/>
      <c r="T7" s="56"/>
      <c r="U7" s="56"/>
      <c r="V7" s="57">
        <v>0.004</v>
      </c>
      <c r="W7" s="57"/>
      <c r="X7" s="57"/>
      <c r="Y7" s="57"/>
      <c r="Z7" s="57"/>
      <c r="AA7" s="155"/>
      <c r="AB7" s="147">
        <f>0.1</f>
        <v>0.1</v>
      </c>
      <c r="AC7" s="60">
        <v>2</v>
      </c>
    </row>
    <row r="8" spans="1:29" ht="12.75" outlineLevel="1">
      <c r="A8" s="64" t="s">
        <v>68</v>
      </c>
      <c r="B8" s="65" t="s">
        <v>13</v>
      </c>
      <c r="C8" s="66" t="s">
        <v>64</v>
      </c>
      <c r="D8" s="59">
        <f t="shared" si="0"/>
        <v>0.15</v>
      </c>
      <c r="E8" s="67">
        <f t="shared" si="2"/>
        <v>0.08</v>
      </c>
      <c r="F8" s="68">
        <f t="shared" si="1"/>
        <v>0.25000000000000006</v>
      </c>
      <c r="G8" s="69">
        <v>0.1</v>
      </c>
      <c r="H8" s="70"/>
      <c r="I8" s="173">
        <f aca="true" t="shared" si="3" ref="I8:I20">J8*J$22+K8*K$22+L8*L$22+M8*M$22+N8*N$22+O8*O$22+P8*P$22+Q8*Q$22+R8*R$22+S8*S$22+T8*T$22+U8*U$22+V8*V$22+W8*W$22+X8*X$22+Y8*Y$22+Z8*Z$22+AA8*AA$22</f>
        <v>0.08</v>
      </c>
      <c r="J8" s="64"/>
      <c r="K8" s="56"/>
      <c r="L8" s="56"/>
      <c r="M8" s="56"/>
      <c r="N8" s="56"/>
      <c r="O8" s="56"/>
      <c r="P8" s="254"/>
      <c r="Q8" s="88"/>
      <c r="R8" s="56"/>
      <c r="S8" s="56"/>
      <c r="T8" s="56"/>
      <c r="U8" s="56"/>
      <c r="V8" s="57"/>
      <c r="W8" s="57">
        <v>0.004</v>
      </c>
      <c r="X8" s="57"/>
      <c r="Y8" s="57"/>
      <c r="Z8" s="57"/>
      <c r="AA8" s="155"/>
      <c r="AB8" s="147">
        <f>0.1</f>
        <v>0.1</v>
      </c>
      <c r="AC8" s="60">
        <v>2</v>
      </c>
    </row>
    <row r="9" spans="1:29" ht="12.75" outlineLevel="1">
      <c r="A9" s="64" t="s">
        <v>69</v>
      </c>
      <c r="B9" s="65" t="s">
        <v>13</v>
      </c>
      <c r="C9" s="66" t="s">
        <v>64</v>
      </c>
      <c r="D9" s="59">
        <f t="shared" si="0"/>
        <v>0.15</v>
      </c>
      <c r="E9" s="67">
        <f t="shared" si="2"/>
        <v>0.08</v>
      </c>
      <c r="F9" s="68">
        <f t="shared" si="1"/>
        <v>0.25000000000000006</v>
      </c>
      <c r="G9" s="69">
        <v>0.1</v>
      </c>
      <c r="H9" s="70"/>
      <c r="I9" s="173">
        <f t="shared" si="3"/>
        <v>0.08</v>
      </c>
      <c r="J9" s="64"/>
      <c r="K9" s="56"/>
      <c r="L9" s="56"/>
      <c r="M9" s="56"/>
      <c r="N9" s="56"/>
      <c r="O9" s="56"/>
      <c r="P9" s="254"/>
      <c r="Q9" s="88"/>
      <c r="R9" s="56"/>
      <c r="S9" s="56"/>
      <c r="T9" s="56"/>
      <c r="U9" s="56"/>
      <c r="V9" s="57"/>
      <c r="W9" s="57"/>
      <c r="X9" s="57">
        <v>0.004</v>
      </c>
      <c r="Y9" s="57"/>
      <c r="Z9" s="57"/>
      <c r="AA9" s="155"/>
      <c r="AB9" s="147">
        <f>0.1</f>
        <v>0.1</v>
      </c>
      <c r="AC9" s="60">
        <v>2</v>
      </c>
    </row>
    <row r="10" spans="1:29" ht="12.75" outlineLevel="1">
      <c r="A10" s="64" t="s">
        <v>70</v>
      </c>
      <c r="B10" s="65" t="s">
        <v>13</v>
      </c>
      <c r="C10" s="66" t="s">
        <v>64</v>
      </c>
      <c r="D10" s="59">
        <f t="shared" si="0"/>
        <v>0.15</v>
      </c>
      <c r="E10" s="67">
        <f t="shared" si="2"/>
        <v>0.08</v>
      </c>
      <c r="F10" s="68">
        <f t="shared" si="1"/>
        <v>0.25000000000000006</v>
      </c>
      <c r="G10" s="69">
        <v>0.1</v>
      </c>
      <c r="H10" s="70"/>
      <c r="I10" s="173">
        <f t="shared" si="3"/>
        <v>0.08</v>
      </c>
      <c r="J10" s="64"/>
      <c r="K10" s="56"/>
      <c r="L10" s="56"/>
      <c r="M10" s="56"/>
      <c r="N10" s="56"/>
      <c r="O10" s="56"/>
      <c r="P10" s="254"/>
      <c r="Q10" s="88"/>
      <c r="R10" s="56"/>
      <c r="S10" s="56"/>
      <c r="T10" s="56"/>
      <c r="U10" s="56"/>
      <c r="V10" s="57"/>
      <c r="W10" s="57"/>
      <c r="X10" s="57"/>
      <c r="Y10" s="57">
        <v>0.004</v>
      </c>
      <c r="Z10" s="57"/>
      <c r="AA10" s="155"/>
      <c r="AB10" s="147">
        <f>0.1</f>
        <v>0.1</v>
      </c>
      <c r="AC10" s="60">
        <v>2</v>
      </c>
    </row>
    <row r="11" spans="1:29" ht="12.75" outlineLevel="1">
      <c r="A11" s="64" t="s">
        <v>71</v>
      </c>
      <c r="B11" s="65" t="s">
        <v>13</v>
      </c>
      <c r="C11" s="66" t="s">
        <v>64</v>
      </c>
      <c r="D11" s="59">
        <f t="shared" si="0"/>
        <v>0.15</v>
      </c>
      <c r="E11" s="67">
        <f t="shared" si="2"/>
        <v>0.08</v>
      </c>
      <c r="F11" s="68">
        <f t="shared" si="1"/>
        <v>0.25000000000000006</v>
      </c>
      <c r="G11" s="69">
        <v>0.1</v>
      </c>
      <c r="H11" s="70"/>
      <c r="I11" s="173">
        <f t="shared" si="3"/>
        <v>0.08</v>
      </c>
      <c r="J11" s="64"/>
      <c r="K11" s="56"/>
      <c r="L11" s="56"/>
      <c r="M11" s="56"/>
      <c r="N11" s="56"/>
      <c r="O11" s="56"/>
      <c r="P11" s="254"/>
      <c r="Q11" s="88"/>
      <c r="R11" s="56"/>
      <c r="S11" s="56"/>
      <c r="T11" s="56"/>
      <c r="U11" s="56"/>
      <c r="V11" s="57"/>
      <c r="W11" s="57"/>
      <c r="X11" s="57"/>
      <c r="Y11" s="57"/>
      <c r="Z11" s="57">
        <v>0.004</v>
      </c>
      <c r="AA11" s="155"/>
      <c r="AB11" s="147">
        <f>28/31</f>
        <v>0.9032258064516129</v>
      </c>
      <c r="AC11" s="60"/>
    </row>
    <row r="12" spans="1:29" ht="12.75" outlineLevel="1">
      <c r="A12" s="64" t="s">
        <v>72</v>
      </c>
      <c r="B12" s="65" t="s">
        <v>13</v>
      </c>
      <c r="C12" s="66" t="s">
        <v>64</v>
      </c>
      <c r="D12" s="59">
        <f t="shared" si="0"/>
        <v>0.15</v>
      </c>
      <c r="E12" s="67">
        <f t="shared" si="2"/>
        <v>0.08</v>
      </c>
      <c r="F12" s="68">
        <f t="shared" si="1"/>
        <v>0.25000000000000006</v>
      </c>
      <c r="G12" s="69">
        <v>0.1</v>
      </c>
      <c r="H12" s="70"/>
      <c r="I12" s="173">
        <f t="shared" si="3"/>
        <v>0.08</v>
      </c>
      <c r="J12" s="64"/>
      <c r="K12" s="56"/>
      <c r="L12" s="56"/>
      <c r="M12" s="56"/>
      <c r="N12" s="56"/>
      <c r="O12" s="56"/>
      <c r="P12" s="254"/>
      <c r="Q12" s="88"/>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7.2458521408</v>
      </c>
      <c r="F13" s="120">
        <f t="shared" si="1"/>
        <v>0.17028637498304935</v>
      </c>
      <c r="G13" s="121">
        <f>SUM(G14:G20)</f>
        <v>8.47972203552</v>
      </c>
      <c r="H13" s="61"/>
      <c r="I13" s="174"/>
      <c r="J13" s="156"/>
      <c r="K13" s="51"/>
      <c r="L13" s="51"/>
      <c r="M13" s="51"/>
      <c r="N13" s="51"/>
      <c r="O13" s="51"/>
      <c r="P13" s="260"/>
      <c r="Q13" s="265"/>
      <c r="R13" s="51"/>
      <c r="S13" s="51"/>
      <c r="T13" s="51"/>
      <c r="U13" s="51"/>
      <c r="V13" s="51"/>
      <c r="W13" s="51"/>
      <c r="X13" s="51"/>
      <c r="Y13" s="51"/>
      <c r="Z13" s="51"/>
      <c r="AA13" s="157"/>
      <c r="AB13" s="146"/>
      <c r="AC13" s="52"/>
    </row>
    <row r="14" spans="1:29" ht="12.75" outlineLevel="1">
      <c r="A14" s="64" t="s">
        <v>74</v>
      </c>
      <c r="B14" s="76" t="s">
        <v>13</v>
      </c>
      <c r="C14" s="30" t="s">
        <v>64</v>
      </c>
      <c r="D14" s="77">
        <f t="shared" si="0"/>
        <v>0.15</v>
      </c>
      <c r="E14" s="70">
        <f aca="true" t="shared" si="4" ref="E14:E20">I14</f>
        <v>1.517</v>
      </c>
      <c r="F14" s="68">
        <f aca="true" t="shared" si="5" ref="F14:F20">D14</f>
        <v>0.15</v>
      </c>
      <c r="G14" s="118">
        <f aca="true" t="shared" si="6" ref="G14:G20">E14*(1+F14)</f>
        <v>1.7445499999999998</v>
      </c>
      <c r="H14" s="70"/>
      <c r="I14" s="173">
        <f t="shared" si="3"/>
        <v>1.517</v>
      </c>
      <c r="J14" s="159">
        <f>DFB_2007_05_22!$R$21/1000</f>
        <v>0.01</v>
      </c>
      <c r="K14" s="57">
        <f>DFB_2007_05_22!$Y$21/1000</f>
        <v>0.25</v>
      </c>
      <c r="L14" s="57">
        <f>DFB_2007_05_22!$V$21/1000</f>
        <v>0.09</v>
      </c>
      <c r="M14" s="57">
        <f>DFB_2007_05_22!$L$21/1000</f>
        <v>0.04</v>
      </c>
      <c r="N14" s="144">
        <f>DFB_2007_05_22!$O$21/1000</f>
        <v>0.05</v>
      </c>
      <c r="O14" s="207">
        <f>DFB_2007_05_22!$F$21/1000</f>
        <v>0.0165</v>
      </c>
      <c r="P14" s="144">
        <f>DFB_2007_05_22!$I$21/1000</f>
        <v>0.0105</v>
      </c>
      <c r="Q14" s="266"/>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4"/>
        <v>0.36000000000000004</v>
      </c>
      <c r="F15" s="68">
        <f t="shared" si="5"/>
        <v>0.25</v>
      </c>
      <c r="G15" s="118">
        <f t="shared" si="6"/>
        <v>0.45000000000000007</v>
      </c>
      <c r="H15" s="70"/>
      <c r="I15" s="173">
        <f t="shared" si="3"/>
        <v>0.36000000000000004</v>
      </c>
      <c r="J15" s="159"/>
      <c r="K15" s="57"/>
      <c r="L15" s="57"/>
      <c r="M15" s="57"/>
      <c r="N15" s="57"/>
      <c r="O15" s="182"/>
      <c r="P15" s="261"/>
      <c r="Q15" s="267"/>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64</v>
      </c>
      <c r="D16" s="59">
        <f t="shared" si="0"/>
        <v>0.15</v>
      </c>
      <c r="E16" s="67">
        <f t="shared" si="4"/>
        <v>1.0300000000000002</v>
      </c>
      <c r="F16" s="68">
        <f t="shared" si="5"/>
        <v>0.15</v>
      </c>
      <c r="G16" s="118">
        <f t="shared" si="6"/>
        <v>1.1845</v>
      </c>
      <c r="H16" s="70"/>
      <c r="I16" s="173">
        <f t="shared" si="3"/>
        <v>1.0300000000000002</v>
      </c>
      <c r="J16" s="159"/>
      <c r="K16" s="57"/>
      <c r="L16" s="57"/>
      <c r="M16" s="57"/>
      <c r="N16" s="57"/>
      <c r="O16" s="182"/>
      <c r="P16" s="261"/>
      <c r="Q16" s="267">
        <v>0.016</v>
      </c>
      <c r="R16" s="57">
        <v>0.026</v>
      </c>
      <c r="S16" s="57">
        <v>0.015</v>
      </c>
      <c r="T16" s="57">
        <f>0.001*0.6</f>
        <v>0.0006</v>
      </c>
      <c r="U16" s="57">
        <f>0.001*0.6</f>
        <v>0.0006</v>
      </c>
      <c r="V16" s="57">
        <v>0.002</v>
      </c>
      <c r="W16" s="57">
        <v>0.002</v>
      </c>
      <c r="X16" s="57">
        <v>0.002</v>
      </c>
      <c r="Y16" s="57">
        <v>0.002</v>
      </c>
      <c r="Z16" s="57">
        <v>0.002</v>
      </c>
      <c r="AA16" s="155">
        <v>0.002</v>
      </c>
      <c r="AB16" s="148"/>
      <c r="AC16" s="58"/>
    </row>
    <row r="17" spans="1:29" ht="12.75" outlineLevel="1">
      <c r="A17" s="64" t="s">
        <v>76</v>
      </c>
      <c r="B17" s="65" t="s">
        <v>13</v>
      </c>
      <c r="C17" s="30" t="s">
        <v>64</v>
      </c>
      <c r="D17" s="59">
        <f t="shared" si="0"/>
        <v>0.15</v>
      </c>
      <c r="E17" s="67">
        <f t="shared" si="4"/>
        <v>0.4875</v>
      </c>
      <c r="F17" s="68">
        <f t="shared" si="5"/>
        <v>0.15</v>
      </c>
      <c r="G17" s="118">
        <f t="shared" si="6"/>
        <v>0.5606249999999999</v>
      </c>
      <c r="H17" s="70"/>
      <c r="I17" s="173">
        <f t="shared" si="3"/>
        <v>0.4875</v>
      </c>
      <c r="J17" s="159"/>
      <c r="K17" s="57"/>
      <c r="L17" s="57"/>
      <c r="M17" s="57">
        <v>0.0025</v>
      </c>
      <c r="N17" s="57">
        <v>0.005</v>
      </c>
      <c r="O17" s="182">
        <v>0.025</v>
      </c>
      <c r="P17" s="261">
        <v>0.02</v>
      </c>
      <c r="Q17" s="267"/>
      <c r="R17" s="143"/>
      <c r="S17" s="143"/>
      <c r="T17" s="57"/>
      <c r="U17" s="57"/>
      <c r="V17" s="57"/>
      <c r="W17" s="57"/>
      <c r="X17" s="57"/>
      <c r="Y17" s="57"/>
      <c r="Z17" s="57"/>
      <c r="AA17" s="155"/>
      <c r="AB17" s="148"/>
      <c r="AC17" s="58"/>
    </row>
    <row r="18" spans="1:29" ht="12.75" outlineLevel="1">
      <c r="A18" s="64" t="s">
        <v>85</v>
      </c>
      <c r="B18" s="65"/>
      <c r="C18" s="66" t="s">
        <v>65</v>
      </c>
      <c r="D18" s="59">
        <f t="shared" si="0"/>
        <v>0.25</v>
      </c>
      <c r="E18" s="67">
        <f t="shared" si="4"/>
        <v>0.2112</v>
      </c>
      <c r="F18" s="68">
        <f t="shared" si="5"/>
        <v>0.25</v>
      </c>
      <c r="G18" s="118">
        <f t="shared" si="6"/>
        <v>0.264</v>
      </c>
      <c r="H18" s="70"/>
      <c r="I18" s="173">
        <f t="shared" si="3"/>
        <v>0.2112</v>
      </c>
      <c r="J18" s="159"/>
      <c r="K18" s="57"/>
      <c r="L18" s="57">
        <f>DCB_2008_02_12!$H$10/1000</f>
        <v>0.064</v>
      </c>
      <c r="M18" s="57"/>
      <c r="N18" s="57"/>
      <c r="O18" s="57"/>
      <c r="P18" s="144"/>
      <c r="Q18" s="266"/>
      <c r="R18" s="57"/>
      <c r="S18" s="57"/>
      <c r="T18" s="57"/>
      <c r="U18" s="57"/>
      <c r="V18" s="57"/>
      <c r="W18" s="57"/>
      <c r="X18" s="57"/>
      <c r="Y18" s="57"/>
      <c r="Z18" s="57"/>
      <c r="AA18" s="155"/>
      <c r="AB18" s="148"/>
      <c r="AC18" s="58"/>
    </row>
    <row r="19" spans="1:29" ht="12.75" outlineLevel="1">
      <c r="A19" s="64" t="s">
        <v>77</v>
      </c>
      <c r="B19" s="65"/>
      <c r="C19" s="66" t="s">
        <v>65</v>
      </c>
      <c r="D19" s="59">
        <f t="shared" si="0"/>
        <v>0.25</v>
      </c>
      <c r="E19" s="67">
        <f t="shared" si="4"/>
        <v>0.8987207360000001</v>
      </c>
      <c r="F19" s="68">
        <f t="shared" si="5"/>
        <v>0.25</v>
      </c>
      <c r="G19" s="118">
        <f t="shared" si="6"/>
        <v>1.1234009200000001</v>
      </c>
      <c r="H19" s="70"/>
      <c r="I19" s="173">
        <f t="shared" si="3"/>
        <v>0.8987207360000001</v>
      </c>
      <c r="J19" s="159">
        <v>0.02</v>
      </c>
      <c r="K19" s="57">
        <f>DCB_2008_02_12!$H$24/1000</f>
        <v>0.10733333333333332</v>
      </c>
      <c r="L19" s="57">
        <f>DCB_2008_02_12!$H$23/1000-L18</f>
        <v>0.17500628363636367</v>
      </c>
      <c r="M19" s="57">
        <f>DCB_2008_02_12!K14/10/1000</f>
        <v>0.0008</v>
      </c>
      <c r="N19" s="144">
        <f>M19</f>
        <v>0.0008</v>
      </c>
      <c r="O19" s="185">
        <v>0.001</v>
      </c>
      <c r="P19" s="115">
        <v>0.001</v>
      </c>
      <c r="Q19" s="266"/>
      <c r="R19" s="57"/>
      <c r="S19" s="57"/>
      <c r="T19" s="57"/>
      <c r="U19" s="57"/>
      <c r="V19" s="57"/>
      <c r="W19" s="57"/>
      <c r="X19" s="57"/>
      <c r="Y19" s="57"/>
      <c r="Z19" s="57"/>
      <c r="AA19" s="155"/>
      <c r="AB19" s="148"/>
      <c r="AC19" s="58"/>
    </row>
    <row r="20" spans="1:29" ht="12.75" outlineLevel="1">
      <c r="A20" s="80" t="s">
        <v>78</v>
      </c>
      <c r="B20" s="81" t="s">
        <v>13</v>
      </c>
      <c r="C20" s="82" t="s">
        <v>64</v>
      </c>
      <c r="D20" s="83">
        <f t="shared" si="0"/>
        <v>0.15</v>
      </c>
      <c r="E20" s="84">
        <f t="shared" si="4"/>
        <v>2.7414314047999997</v>
      </c>
      <c r="F20" s="135">
        <f t="shared" si="5"/>
        <v>0.15</v>
      </c>
      <c r="G20" s="136">
        <f t="shared" si="6"/>
        <v>3.1526461155199996</v>
      </c>
      <c r="H20" s="70"/>
      <c r="I20" s="173">
        <f t="shared" si="3"/>
        <v>2.7414314047999997</v>
      </c>
      <c r="J20" s="271">
        <f aca="true" t="shared" si="7" ref="J20:AA20">SUM(J6:J19)*$L$25</f>
        <v>0.0165</v>
      </c>
      <c r="K20" s="272">
        <f t="shared" si="7"/>
        <v>0.19653333333333334</v>
      </c>
      <c r="L20" s="142">
        <f t="shared" si="7"/>
        <v>0.180953456</v>
      </c>
      <c r="M20" s="207">
        <f t="shared" si="7"/>
        <v>0.023815000000000006</v>
      </c>
      <c r="N20" s="207">
        <f t="shared" si="7"/>
        <v>0.030690000000000005</v>
      </c>
      <c r="O20" s="207">
        <f t="shared" si="7"/>
        <v>0.023375000000000003</v>
      </c>
      <c r="P20" s="273">
        <f t="shared" si="7"/>
        <v>0.017325</v>
      </c>
      <c r="Q20" s="271">
        <f t="shared" si="7"/>
        <v>0.0088</v>
      </c>
      <c r="R20" s="207">
        <f t="shared" si="7"/>
        <v>0.0242</v>
      </c>
      <c r="S20" s="207">
        <f t="shared" si="7"/>
        <v>0.018150000000000003</v>
      </c>
      <c r="T20" s="207">
        <f t="shared" si="7"/>
        <v>0.00033</v>
      </c>
      <c r="U20" s="207">
        <f t="shared" si="7"/>
        <v>0.00033</v>
      </c>
      <c r="V20" s="207">
        <f t="shared" si="7"/>
        <v>0.0033000000000000004</v>
      </c>
      <c r="W20" s="207">
        <f t="shared" si="7"/>
        <v>0.0033000000000000004</v>
      </c>
      <c r="X20" s="207">
        <f t="shared" si="7"/>
        <v>0.0033000000000000004</v>
      </c>
      <c r="Y20" s="207">
        <f t="shared" si="7"/>
        <v>0.0033000000000000004</v>
      </c>
      <c r="Z20" s="207">
        <f t="shared" si="7"/>
        <v>0.0033000000000000004</v>
      </c>
      <c r="AA20" s="274">
        <f t="shared" si="7"/>
        <v>0.0033000000000000004</v>
      </c>
      <c r="AB20" s="149"/>
      <c r="AC20" s="87"/>
    </row>
    <row r="21" spans="1:29" ht="12.75">
      <c r="A21" s="88"/>
      <c r="B21" s="39"/>
      <c r="C21" s="66"/>
      <c r="D21" s="59"/>
      <c r="E21" s="67"/>
      <c r="F21" s="68"/>
      <c r="G21" s="69"/>
      <c r="H21" s="70"/>
      <c r="I21" s="175"/>
      <c r="J21" s="162"/>
      <c r="K21" s="89"/>
      <c r="L21" s="89"/>
      <c r="M21" s="89"/>
      <c r="N21" s="89"/>
      <c r="O21" s="89"/>
      <c r="P21" s="89"/>
      <c r="Q21" s="162"/>
      <c r="R21" s="257"/>
      <c r="S21" s="89"/>
      <c r="T21" s="89"/>
      <c r="U21" s="89"/>
      <c r="V21" s="89"/>
      <c r="W21" s="89"/>
      <c r="X21" s="89"/>
      <c r="Y21" s="89"/>
      <c r="Z21" s="89"/>
      <c r="AA21" s="163"/>
      <c r="AB21" s="90"/>
      <c r="AC21" s="90"/>
    </row>
    <row r="22" spans="1:29" s="53" customFormat="1" ht="16.5" thickBot="1">
      <c r="A22" s="91" t="s">
        <v>79</v>
      </c>
      <c r="B22" s="92"/>
      <c r="C22" s="92"/>
      <c r="D22" s="238"/>
      <c r="E22" s="239">
        <f>SUM(E13+E6)</f>
        <v>7.725852140800001</v>
      </c>
      <c r="F22" s="240">
        <f>(G22-E22)/E22</f>
        <v>0.17523890828433686</v>
      </c>
      <c r="G22" s="241">
        <f>SUM(G13+G6)</f>
        <v>9.07972203552</v>
      </c>
      <c r="H22" s="94"/>
      <c r="I22" s="176">
        <f>SUM(I6:I12)+SUM(I14:I20)</f>
        <v>7.725852140800001</v>
      </c>
      <c r="J22" s="164">
        <v>5</v>
      </c>
      <c r="K22" s="97">
        <v>1.8</v>
      </c>
      <c r="L22" s="97">
        <v>3.3</v>
      </c>
      <c r="M22" s="97">
        <v>5</v>
      </c>
      <c r="N22" s="97">
        <v>5</v>
      </c>
      <c r="O22" s="97">
        <v>10</v>
      </c>
      <c r="P22" s="262">
        <v>10</v>
      </c>
      <c r="Q22" s="268">
        <v>5</v>
      </c>
      <c r="R22" s="97">
        <v>10</v>
      </c>
      <c r="S22" s="97">
        <v>10</v>
      </c>
      <c r="T22" s="97">
        <v>250</v>
      </c>
      <c r="U22" s="97">
        <v>250</v>
      </c>
      <c r="V22" s="97">
        <v>20</v>
      </c>
      <c r="W22" s="97">
        <v>20</v>
      </c>
      <c r="X22" s="97">
        <v>20</v>
      </c>
      <c r="Y22" s="97">
        <v>20</v>
      </c>
      <c r="Z22" s="97">
        <v>20</v>
      </c>
      <c r="AA22" s="165">
        <v>20</v>
      </c>
      <c r="AB22" s="150" t="s">
        <v>80</v>
      </c>
      <c r="AC22" s="99"/>
    </row>
    <row r="23" spans="1:29" s="53" customFormat="1" ht="16.5" thickBot="1">
      <c r="A23" s="100"/>
      <c r="B23" s="63"/>
      <c r="C23" s="101"/>
      <c r="D23" s="242" t="s">
        <v>252</v>
      </c>
      <c r="E23" s="244">
        <f>I54</f>
        <v>13.842119032800003</v>
      </c>
      <c r="F23" s="243">
        <f>F22</f>
        <v>0.17523890828433686</v>
      </c>
      <c r="G23" s="245">
        <f>E23*(1+F23)</f>
        <v>16.267796860449717</v>
      </c>
      <c r="H23" s="94"/>
      <c r="I23" s="177" t="s">
        <v>258</v>
      </c>
      <c r="J23" s="166">
        <f aca="true" t="shared" si="8" ref="J23:AA23">SUM(J6:J12)+SUM(J14:J19)</f>
        <v>0.03</v>
      </c>
      <c r="K23" s="104">
        <f t="shared" si="8"/>
        <v>0.35733333333333334</v>
      </c>
      <c r="L23" s="104">
        <f t="shared" si="8"/>
        <v>0.32900628363636364</v>
      </c>
      <c r="M23" s="104">
        <f t="shared" si="8"/>
        <v>0.043300000000000005</v>
      </c>
      <c r="N23" s="104">
        <f t="shared" si="8"/>
        <v>0.0558</v>
      </c>
      <c r="O23" s="104">
        <f t="shared" si="8"/>
        <v>0.0425</v>
      </c>
      <c r="P23" s="116">
        <f t="shared" si="8"/>
        <v>0.0315</v>
      </c>
      <c r="Q23" s="269">
        <f t="shared" si="8"/>
        <v>0.016</v>
      </c>
      <c r="R23" s="258">
        <f t="shared" si="8"/>
        <v>0.044</v>
      </c>
      <c r="S23" s="104">
        <f t="shared" si="8"/>
        <v>0.033</v>
      </c>
      <c r="T23" s="104">
        <f t="shared" si="8"/>
        <v>0.0006</v>
      </c>
      <c r="U23" s="104">
        <f t="shared" si="8"/>
        <v>0.0006</v>
      </c>
      <c r="V23" s="104">
        <f t="shared" si="8"/>
        <v>0.006</v>
      </c>
      <c r="W23" s="104">
        <f t="shared" si="8"/>
        <v>0.006</v>
      </c>
      <c r="X23" s="104">
        <f t="shared" si="8"/>
        <v>0.006</v>
      </c>
      <c r="Y23" s="104">
        <f t="shared" si="8"/>
        <v>0.006</v>
      </c>
      <c r="Z23" s="104">
        <f t="shared" si="8"/>
        <v>0.006</v>
      </c>
      <c r="AA23" s="167">
        <f t="shared" si="8"/>
        <v>0.006</v>
      </c>
      <c r="AB23" s="150" t="s">
        <v>81</v>
      </c>
      <c r="AC23" s="99"/>
    </row>
    <row r="24" spans="1:29" s="53" customFormat="1" ht="16.5" thickBot="1">
      <c r="A24"/>
      <c r="B24" s="66"/>
      <c r="H24" s="105"/>
      <c r="I24" s="178"/>
      <c r="J24" s="168">
        <f aca="true" t="shared" si="9" ref="J24:AA24">J22*J23</f>
        <v>0.15</v>
      </c>
      <c r="K24" s="181">
        <f t="shared" si="9"/>
        <v>0.6432</v>
      </c>
      <c r="L24" s="169">
        <f t="shared" si="9"/>
        <v>1.0857207359999999</v>
      </c>
      <c r="M24" s="169">
        <f t="shared" si="9"/>
        <v>0.21650000000000003</v>
      </c>
      <c r="N24" s="169">
        <f t="shared" si="9"/>
        <v>0.279</v>
      </c>
      <c r="O24" s="169">
        <f t="shared" si="9"/>
        <v>0.42500000000000004</v>
      </c>
      <c r="P24" s="263">
        <f t="shared" si="9"/>
        <v>0.315</v>
      </c>
      <c r="Q24" s="270">
        <f t="shared" si="9"/>
        <v>0.08</v>
      </c>
      <c r="R24" s="169">
        <f t="shared" si="9"/>
        <v>0.43999999999999995</v>
      </c>
      <c r="S24" s="169">
        <f t="shared" si="9"/>
        <v>0.33</v>
      </c>
      <c r="T24" s="169">
        <f t="shared" si="9"/>
        <v>0.15</v>
      </c>
      <c r="U24" s="169">
        <f t="shared" si="9"/>
        <v>0.15</v>
      </c>
      <c r="V24" s="169">
        <f t="shared" si="9"/>
        <v>0.12</v>
      </c>
      <c r="W24" s="169">
        <f t="shared" si="9"/>
        <v>0.12</v>
      </c>
      <c r="X24" s="169">
        <f t="shared" si="9"/>
        <v>0.12</v>
      </c>
      <c r="Y24" s="169">
        <f t="shared" si="9"/>
        <v>0.12</v>
      </c>
      <c r="Z24" s="169">
        <f t="shared" si="9"/>
        <v>0.12</v>
      </c>
      <c r="AA24" s="170">
        <f t="shared" si="9"/>
        <v>0.12</v>
      </c>
      <c r="AB24" s="151" t="s">
        <v>4</v>
      </c>
      <c r="AC24" s="110"/>
    </row>
    <row r="25" spans="1:29" s="53" customFormat="1" ht="15" outlineLevel="1">
      <c r="A25"/>
      <c r="B25" s="39"/>
      <c r="C25" s="63"/>
      <c r="D25" s="63"/>
      <c r="E25" s="112"/>
      <c r="F25" s="112"/>
      <c r="G25" s="112"/>
      <c r="H25" s="94"/>
      <c r="I25" s="1" t="s">
        <v>82</v>
      </c>
      <c r="L25" s="112">
        <v>0.55</v>
      </c>
      <c r="M25" s="113"/>
      <c r="N25" s="79" t="s">
        <v>261</v>
      </c>
      <c r="P25" s="79">
        <f>1/(1+L25)</f>
        <v>0.6451612903225806</v>
      </c>
      <c r="Q25" s="53" t="s">
        <v>262</v>
      </c>
      <c r="AC25" s="71"/>
    </row>
    <row r="26" spans="2:15" ht="12.75" outlineLevel="1">
      <c r="B26" s="39"/>
      <c r="C26" s="65"/>
      <c r="D26" s="114"/>
      <c r="E26" s="115"/>
      <c r="F26" s="70"/>
      <c r="G26" s="116"/>
      <c r="I26" s="113" t="s">
        <v>125</v>
      </c>
      <c r="O26" s="138"/>
    </row>
    <row r="27" spans="1:28" ht="38.25" outlineLevel="1">
      <c r="A27" s="133" t="s">
        <v>107</v>
      </c>
      <c r="B27" s="134" t="s">
        <v>108</v>
      </c>
      <c r="C27" s="134" t="s">
        <v>112</v>
      </c>
      <c r="D27" s="418" t="s">
        <v>101</v>
      </c>
      <c r="E27" s="390"/>
      <c r="F27" s="390"/>
      <c r="G27" s="390"/>
      <c r="H27" s="390"/>
      <c r="I27" s="117"/>
      <c r="M27" s="1"/>
      <c r="N27" s="1"/>
      <c r="AB27" s="111"/>
    </row>
    <row r="28" spans="1:13" ht="12.75" outlineLevel="1">
      <c r="A28" s="20" t="s">
        <v>96</v>
      </c>
      <c r="B28" s="21">
        <f>G22</f>
        <v>9.07972203552</v>
      </c>
      <c r="C28" s="131">
        <f>G23/B33</f>
        <v>0.7394453118386235</v>
      </c>
      <c r="D28" s="450" t="s">
        <v>253</v>
      </c>
      <c r="E28" s="450"/>
      <c r="F28" s="450"/>
      <c r="G28" s="450"/>
      <c r="H28" s="450"/>
      <c r="I28"/>
      <c r="M28" s="139"/>
    </row>
    <row r="29" spans="1:21" ht="12.75" outlineLevel="1">
      <c r="A29" s="132" t="s">
        <v>98</v>
      </c>
      <c r="B29" s="21">
        <f>B28/2</f>
        <v>4.53986101776</v>
      </c>
      <c r="C29" s="131">
        <f>35/F39</f>
        <v>0.3282957347553719</v>
      </c>
      <c r="D29" s="449" t="s">
        <v>114</v>
      </c>
      <c r="E29" s="450"/>
      <c r="F29" s="450"/>
      <c r="G29" s="450"/>
      <c r="H29" s="450"/>
      <c r="L29" s="139"/>
      <c r="U29" s="113"/>
    </row>
    <row r="30" spans="1:9" ht="12.75" outlineLevel="1">
      <c r="A30" s="132" t="s">
        <v>99</v>
      </c>
      <c r="B30" s="21">
        <f>C38</f>
        <v>0.3372727272727272</v>
      </c>
      <c r="C30" s="21">
        <f>MAX(C36:C38)</f>
        <v>2.2580645161290325</v>
      </c>
      <c r="D30" s="449" t="s">
        <v>115</v>
      </c>
      <c r="E30" s="450"/>
      <c r="F30" s="450"/>
      <c r="G30" s="450"/>
      <c r="H30" s="450"/>
      <c r="I30" s="79"/>
    </row>
    <row r="31" spans="1:13" ht="12.75" outlineLevel="1">
      <c r="A31" s="132" t="s">
        <v>100</v>
      </c>
      <c r="B31" s="21">
        <f>C38/2</f>
        <v>0.1686363636363636</v>
      </c>
      <c r="C31" s="21">
        <f>MAX(C36:C38)</f>
        <v>2.2580645161290325</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106</v>
      </c>
      <c r="B36" s="2"/>
      <c r="C36" s="130">
        <f>2*B34/F36</f>
        <v>2.2580645161290325</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110</v>
      </c>
      <c r="B37" s="2"/>
      <c r="C37" s="128">
        <v>2</v>
      </c>
      <c r="D37" s="127" t="s">
        <v>111</v>
      </c>
      <c r="E37" s="113"/>
      <c r="F37" s="129">
        <f>B34/C37</f>
        <v>17.5</v>
      </c>
      <c r="G37" s="113" t="s">
        <v>102</v>
      </c>
      <c r="I37" s="171" t="s">
        <v>46</v>
      </c>
      <c r="J37" s="152" t="s">
        <v>47</v>
      </c>
      <c r="K37" s="179" t="s">
        <v>119</v>
      </c>
      <c r="L37" s="153" t="s">
        <v>48</v>
      </c>
      <c r="M37" s="153" t="s">
        <v>49</v>
      </c>
      <c r="N37" s="153" t="s">
        <v>50</v>
      </c>
      <c r="O37" s="153" t="s">
        <v>129</v>
      </c>
      <c r="P37" s="154" t="s">
        <v>131</v>
      </c>
      <c r="Q37" s="264" t="s">
        <v>47</v>
      </c>
      <c r="R37" s="153" t="s">
        <v>53</v>
      </c>
      <c r="S37" s="153" t="s">
        <v>54</v>
      </c>
      <c r="T37" s="153" t="s">
        <v>126</v>
      </c>
      <c r="U37" s="153" t="s">
        <v>127</v>
      </c>
      <c r="V37" s="153" t="s">
        <v>56</v>
      </c>
      <c r="W37" s="153" t="s">
        <v>57</v>
      </c>
      <c r="X37" s="153" t="s">
        <v>58</v>
      </c>
      <c r="Y37" s="153" t="s">
        <v>59</v>
      </c>
      <c r="Z37" s="153" t="s">
        <v>60</v>
      </c>
      <c r="AA37" s="154" t="s">
        <v>61</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5"/>
      <c r="Q38" s="426" t="s">
        <v>5</v>
      </c>
      <c r="R38" s="424"/>
      <c r="S38" s="424"/>
      <c r="T38" s="424"/>
      <c r="U38" s="424"/>
      <c r="V38" s="424"/>
      <c r="W38" s="424"/>
      <c r="X38" s="424"/>
      <c r="Y38" s="424"/>
      <c r="Z38" s="424"/>
      <c r="AA38" s="425"/>
      <c r="AB38" s="146"/>
      <c r="AC38" s="52"/>
    </row>
    <row r="39" spans="1:29" ht="12.75" outlineLevel="1">
      <c r="A39" s="79" t="s">
        <v>113</v>
      </c>
      <c r="C39" s="125">
        <f>B34/F39</f>
        <v>0.3282957347553719</v>
      </c>
      <c r="D39" s="127" t="s">
        <v>111</v>
      </c>
      <c r="E39" s="113"/>
      <c r="F39" s="126">
        <f>22/(G22/2/22)</f>
        <v>106.61119318555903</v>
      </c>
      <c r="G39" s="113" t="s">
        <v>102</v>
      </c>
      <c r="I39" s="173">
        <f aca="true" t="shared" si="10" ref="I39:I52">J39*J$22+K39*K$22+L39*L$22+M39*M$22+N39*N$22+O39*O$22+P39*P$22+Q39*Q$22+R39*R$22+S39*S$22+T39*T$22+U39*U$22+V39*V$22+W39*W$22+X39*X$22+Y39*Y$22+Z39*Z$22+AA39*AA$22</f>
        <v>0.12</v>
      </c>
      <c r="J39" s="64"/>
      <c r="K39" s="56"/>
      <c r="L39" s="56"/>
      <c r="M39" s="56"/>
      <c r="N39" s="56"/>
      <c r="O39" s="56"/>
      <c r="P39" s="180"/>
      <c r="Q39" s="88"/>
      <c r="R39" s="86"/>
      <c r="S39" s="56"/>
      <c r="T39" s="56"/>
      <c r="U39" s="254"/>
      <c r="V39" s="255">
        <f>V7*1.5</f>
        <v>0.006</v>
      </c>
      <c r="W39" s="57"/>
      <c r="X39" s="57"/>
      <c r="Y39" s="57"/>
      <c r="Z39" s="57"/>
      <c r="AA39" s="155"/>
      <c r="AB39" s="147">
        <f>0.1</f>
        <v>0.1</v>
      </c>
      <c r="AC39" s="60">
        <v>2</v>
      </c>
    </row>
    <row r="40" spans="1:29" ht="12.75" outlineLevel="1">
      <c r="A40" s="79"/>
      <c r="C40" s="128"/>
      <c r="D40" s="127"/>
      <c r="F40" s="283"/>
      <c r="G40" s="113"/>
      <c r="I40" s="173">
        <f t="shared" si="10"/>
        <v>0.12</v>
      </c>
      <c r="J40" s="64"/>
      <c r="K40" s="56"/>
      <c r="L40" s="56"/>
      <c r="M40" s="56"/>
      <c r="N40" s="56"/>
      <c r="O40" s="56"/>
      <c r="P40" s="180"/>
      <c r="Q40" s="88"/>
      <c r="R40" s="56"/>
      <c r="S40" s="56"/>
      <c r="T40" s="56"/>
      <c r="U40" s="56"/>
      <c r="V40" s="144"/>
      <c r="W40" s="251">
        <f>W8*1.5</f>
        <v>0.006</v>
      </c>
      <c r="X40" s="57"/>
      <c r="Y40" s="57"/>
      <c r="Z40" s="57"/>
      <c r="AA40" s="155"/>
      <c r="AB40" s="147">
        <f>0.1</f>
        <v>0.1</v>
      </c>
      <c r="AC40" s="60">
        <v>2</v>
      </c>
    </row>
    <row r="41" spans="9:29" ht="12.75" outlineLevel="1">
      <c r="I41" s="173">
        <f t="shared" si="10"/>
        <v>0.12</v>
      </c>
      <c r="J41" s="64"/>
      <c r="K41" s="56"/>
      <c r="L41" s="56"/>
      <c r="M41" s="56"/>
      <c r="N41" s="56"/>
      <c r="O41" s="56"/>
      <c r="P41" s="180"/>
      <c r="Q41" s="88"/>
      <c r="R41" s="56"/>
      <c r="S41" s="56"/>
      <c r="T41" s="56"/>
      <c r="U41" s="56"/>
      <c r="V41" s="57"/>
      <c r="W41" s="144"/>
      <c r="X41" s="251">
        <f>X9*1.5</f>
        <v>0.006</v>
      </c>
      <c r="Y41" s="57"/>
      <c r="Z41" s="57"/>
      <c r="AA41" s="155"/>
      <c r="AB41" s="147">
        <f>0.1</f>
        <v>0.1</v>
      </c>
      <c r="AC41" s="60">
        <v>2</v>
      </c>
    </row>
    <row r="42" spans="9:29" ht="12.75" outlineLevel="1">
      <c r="I42" s="173">
        <f t="shared" si="10"/>
        <v>0.12</v>
      </c>
      <c r="J42" s="64"/>
      <c r="K42" s="56"/>
      <c r="L42" s="56"/>
      <c r="M42" s="56"/>
      <c r="N42" s="56"/>
      <c r="O42" s="56"/>
      <c r="P42" s="180"/>
      <c r="Q42" s="88"/>
      <c r="R42" s="56"/>
      <c r="S42" s="56"/>
      <c r="T42" s="56"/>
      <c r="U42" s="56"/>
      <c r="V42" s="57"/>
      <c r="W42" s="57"/>
      <c r="X42" s="144"/>
      <c r="Y42" s="251">
        <f>Y10*1.5</f>
        <v>0.006</v>
      </c>
      <c r="Z42" s="57"/>
      <c r="AA42" s="155"/>
      <c r="AB42" s="147">
        <f>0.1</f>
        <v>0.1</v>
      </c>
      <c r="AC42" s="60">
        <v>2</v>
      </c>
    </row>
    <row r="43" spans="9:29" ht="12.75" outlineLevel="1">
      <c r="I43" s="173">
        <f t="shared" si="10"/>
        <v>0.12</v>
      </c>
      <c r="J43" s="64"/>
      <c r="K43" s="56"/>
      <c r="L43" s="56"/>
      <c r="M43" s="56"/>
      <c r="N43" s="56"/>
      <c r="O43" s="56"/>
      <c r="P43" s="180"/>
      <c r="Q43" s="88"/>
      <c r="R43" s="56"/>
      <c r="S43" s="56"/>
      <c r="T43" s="56"/>
      <c r="U43" s="56"/>
      <c r="V43" s="57"/>
      <c r="W43" s="57"/>
      <c r="X43" s="57"/>
      <c r="Y43" s="144"/>
      <c r="Z43" s="251">
        <f>Z11*1.5</f>
        <v>0.006</v>
      </c>
      <c r="AA43" s="155"/>
      <c r="AB43" s="147">
        <f>28/31</f>
        <v>0.9032258064516129</v>
      </c>
      <c r="AC43" s="60"/>
    </row>
    <row r="44" spans="9:29" ht="12.75" outlineLevel="1">
      <c r="I44" s="173">
        <f t="shared" si="10"/>
        <v>0.12</v>
      </c>
      <c r="J44" s="64"/>
      <c r="K44" s="56"/>
      <c r="L44" s="56"/>
      <c r="M44" s="56"/>
      <c r="N44" s="56"/>
      <c r="O44" s="56"/>
      <c r="P44" s="180"/>
      <c r="Q44" s="88"/>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157"/>
      <c r="Q45" s="265"/>
      <c r="R45" s="51"/>
      <c r="S45" s="51"/>
      <c r="T45" s="51"/>
      <c r="U45" s="51"/>
      <c r="V45" s="51"/>
      <c r="W45" s="51"/>
      <c r="X45" s="51"/>
      <c r="Y45" s="51"/>
      <c r="Z45" s="51"/>
      <c r="AA45" s="157"/>
      <c r="AB45" s="146"/>
      <c r="AC45" s="52"/>
    </row>
    <row r="46" spans="8:29" ht="12.75" outlineLevel="1">
      <c r="H46" s="248" t="s">
        <v>255</v>
      </c>
      <c r="I46" s="173">
        <f t="shared" si="10"/>
        <v>3.034</v>
      </c>
      <c r="J46" s="275">
        <f>J14*2</f>
        <v>0.02</v>
      </c>
      <c r="K46" s="277">
        <f aca="true" t="shared" si="11" ref="K46:P46">K14*2</f>
        <v>0.5</v>
      </c>
      <c r="L46" s="278">
        <f t="shared" si="11"/>
        <v>0.18</v>
      </c>
      <c r="M46" s="277">
        <f t="shared" si="11"/>
        <v>0.08</v>
      </c>
      <c r="N46" s="277">
        <f t="shared" si="11"/>
        <v>0.1</v>
      </c>
      <c r="O46" s="278">
        <f t="shared" si="11"/>
        <v>0.033</v>
      </c>
      <c r="P46" s="276">
        <f t="shared" si="11"/>
        <v>0.021</v>
      </c>
      <c r="Q46" s="275"/>
      <c r="R46" s="143"/>
      <c r="S46" s="143"/>
      <c r="T46" s="57"/>
      <c r="U46" s="57"/>
      <c r="V46" s="57"/>
      <c r="W46" s="57"/>
      <c r="X46" s="57"/>
      <c r="Y46" s="57"/>
      <c r="Z46" s="57"/>
      <c r="AA46" s="155"/>
      <c r="AB46" s="148"/>
      <c r="AC46" s="58"/>
    </row>
    <row r="47" spans="9:29" ht="12.75" outlineLevel="1">
      <c r="I47" s="173">
        <f t="shared" si="10"/>
        <v>0.54</v>
      </c>
      <c r="J47" s="159"/>
      <c r="K47" s="57"/>
      <c r="L47" s="57"/>
      <c r="M47" s="144"/>
      <c r="N47" s="144"/>
      <c r="O47" s="182"/>
      <c r="P47" s="183"/>
      <c r="Q47" s="267"/>
      <c r="R47" s="253">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0"/>
        <v>1.5450000000000004</v>
      </c>
      <c r="J48" s="250"/>
      <c r="K48" s="251"/>
      <c r="L48" s="57"/>
      <c r="M48" s="144"/>
      <c r="N48" s="144"/>
      <c r="O48" s="182"/>
      <c r="P48" s="183"/>
      <c r="Q48" s="250">
        <f>Q16*1.5</f>
        <v>0.024</v>
      </c>
      <c r="R48" s="253">
        <f>R16*1.5</f>
        <v>0.039</v>
      </c>
      <c r="S48" s="251">
        <f>S16*1.5</f>
        <v>0.0225</v>
      </c>
      <c r="T48" s="253">
        <f aca="true" t="shared" si="12" ref="T48:AA48">T16*1.5</f>
        <v>0.0009</v>
      </c>
      <c r="U48" s="253">
        <f t="shared" si="12"/>
        <v>0.0009</v>
      </c>
      <c r="V48" s="251">
        <f t="shared" si="12"/>
        <v>0.003</v>
      </c>
      <c r="W48" s="253">
        <f t="shared" si="12"/>
        <v>0.003</v>
      </c>
      <c r="X48" s="251">
        <f t="shared" si="12"/>
        <v>0.003</v>
      </c>
      <c r="Y48" s="251">
        <f t="shared" si="12"/>
        <v>0.003</v>
      </c>
      <c r="Z48" s="251">
        <f t="shared" si="12"/>
        <v>0.003</v>
      </c>
      <c r="AA48" s="252">
        <f t="shared" si="12"/>
        <v>0.003</v>
      </c>
      <c r="AB48" s="148"/>
      <c r="AC48" s="58"/>
    </row>
    <row r="49" spans="9:29" ht="12.75" outlineLevel="1">
      <c r="I49" s="173">
        <f t="shared" si="10"/>
        <v>0.73125</v>
      </c>
      <c r="J49" s="159"/>
      <c r="K49" s="57"/>
      <c r="L49" s="144"/>
      <c r="M49" s="253">
        <f>M17*1.5</f>
        <v>0.00375</v>
      </c>
      <c r="N49" s="253">
        <f>N17*1.5</f>
        <v>0.0075</v>
      </c>
      <c r="O49" s="251">
        <f>O17*1.5</f>
        <v>0.037500000000000006</v>
      </c>
      <c r="P49" s="252">
        <f>P17*1.5</f>
        <v>0.03</v>
      </c>
      <c r="Q49" s="250"/>
      <c r="R49" s="143"/>
      <c r="S49" s="143"/>
      <c r="T49" s="57"/>
      <c r="U49" s="57"/>
      <c r="V49" s="57"/>
      <c r="W49" s="57"/>
      <c r="X49" s="57"/>
      <c r="Y49" s="57"/>
      <c r="Z49" s="57"/>
      <c r="AA49" s="155"/>
      <c r="AB49" s="148"/>
      <c r="AC49" s="58"/>
    </row>
    <row r="50" spans="9:29" ht="12.75" outlineLevel="1">
      <c r="I50" s="173">
        <f t="shared" si="10"/>
        <v>0.31679999999999997</v>
      </c>
      <c r="J50" s="159"/>
      <c r="K50" s="57"/>
      <c r="L50" s="143">
        <f>DCB_2008_02_12!G10/1000</f>
        <v>0.096</v>
      </c>
      <c r="M50" s="144"/>
      <c r="N50" s="144"/>
      <c r="O50" s="57"/>
      <c r="P50" s="155"/>
      <c r="Q50" s="266"/>
      <c r="R50" s="57"/>
      <c r="S50" s="57"/>
      <c r="T50" s="57"/>
      <c r="U50" s="57"/>
      <c r="V50" s="57"/>
      <c r="W50" s="57"/>
      <c r="X50" s="57"/>
      <c r="Y50" s="57"/>
      <c r="Z50" s="57"/>
      <c r="AA50" s="155"/>
      <c r="AB50" s="148"/>
      <c r="AC50" s="58"/>
    </row>
    <row r="51" spans="8:29" ht="12.75" outlineLevel="1">
      <c r="H51" s="248" t="s">
        <v>254</v>
      </c>
      <c r="I51" s="173">
        <f t="shared" si="10"/>
        <v>2.043349376</v>
      </c>
      <c r="J51" s="246">
        <f>J19*1.5</f>
        <v>0.03</v>
      </c>
      <c r="K51" s="143">
        <f>DCB_2008_02_12!G24/1000</f>
        <v>0.21466666666666664</v>
      </c>
      <c r="L51" s="143">
        <f>DCB_2008_02_12!G23/1000-L50</f>
        <v>0.4439240533333334</v>
      </c>
      <c r="M51" s="237">
        <f>DCB_2008_02_12!J14/10/1000</f>
        <v>0.0012</v>
      </c>
      <c r="N51" s="279">
        <f>M51</f>
        <v>0.0012</v>
      </c>
      <c r="O51" s="280">
        <f>O19*1.5</f>
        <v>0.0015</v>
      </c>
      <c r="P51" s="256">
        <f>P19*1.5</f>
        <v>0.0015</v>
      </c>
      <c r="Q51" s="250"/>
      <c r="R51" s="57"/>
      <c r="S51" s="57"/>
      <c r="T51" s="57"/>
      <c r="U51" s="57"/>
      <c r="V51" s="57"/>
      <c r="W51" s="57"/>
      <c r="X51" s="57"/>
      <c r="Y51" s="57"/>
      <c r="Z51" s="57"/>
      <c r="AA51" s="155"/>
      <c r="AB51" s="148"/>
      <c r="AC51" s="58"/>
    </row>
    <row r="52" spans="9:29" ht="12.75" outlineLevel="1">
      <c r="I52" s="173">
        <f t="shared" si="10"/>
        <v>4.9117196568000026</v>
      </c>
      <c r="J52" s="271">
        <f aca="true" t="shared" si="13" ref="J52:AA52">SUM(J38:J51)*$L$25</f>
        <v>0.027500000000000004</v>
      </c>
      <c r="K52" s="272">
        <f t="shared" si="13"/>
        <v>0.3930666666666667</v>
      </c>
      <c r="L52" s="142">
        <f t="shared" si="13"/>
        <v>0.3959582293333334</v>
      </c>
      <c r="M52" s="207">
        <f t="shared" si="13"/>
        <v>0.04672250000000001</v>
      </c>
      <c r="N52" s="207">
        <f t="shared" si="13"/>
        <v>0.05978500000000001</v>
      </c>
      <c r="O52" s="207">
        <f t="shared" si="13"/>
        <v>0.03960000000000001</v>
      </c>
      <c r="P52" s="274">
        <f t="shared" si="13"/>
        <v>0.028875000000000005</v>
      </c>
      <c r="Q52" s="271">
        <f t="shared" si="13"/>
        <v>0.013200000000000002</v>
      </c>
      <c r="R52" s="207">
        <f t="shared" si="13"/>
        <v>0.036300000000000006</v>
      </c>
      <c r="S52" s="207">
        <f t="shared" si="13"/>
        <v>0.027225000000000003</v>
      </c>
      <c r="T52" s="207">
        <f t="shared" si="13"/>
        <v>0.000495</v>
      </c>
      <c r="U52" s="207">
        <f t="shared" si="13"/>
        <v>0.000495</v>
      </c>
      <c r="V52" s="207">
        <f t="shared" si="13"/>
        <v>0.004950000000000001</v>
      </c>
      <c r="W52" s="207">
        <f t="shared" si="13"/>
        <v>0.004950000000000001</v>
      </c>
      <c r="X52" s="207">
        <f t="shared" si="13"/>
        <v>0.004950000000000001</v>
      </c>
      <c r="Y52" s="207">
        <f t="shared" si="13"/>
        <v>0.004950000000000001</v>
      </c>
      <c r="Z52" s="207">
        <f t="shared" si="13"/>
        <v>0.004950000000000001</v>
      </c>
      <c r="AA52" s="274">
        <f t="shared" si="13"/>
        <v>0.004950000000000001</v>
      </c>
      <c r="AB52" s="149"/>
      <c r="AC52" s="87"/>
    </row>
    <row r="53" spans="9:29" ht="12.75" outlineLevel="1">
      <c r="I53" s="175"/>
      <c r="J53" s="162"/>
      <c r="K53" s="89"/>
      <c r="L53" s="89"/>
      <c r="M53" s="89"/>
      <c r="N53" s="89"/>
      <c r="O53" s="89"/>
      <c r="P53" s="163"/>
      <c r="Q53" s="162"/>
      <c r="R53" s="257"/>
      <c r="S53" s="89"/>
      <c r="T53" s="89"/>
      <c r="U53" s="89"/>
      <c r="V53" s="89"/>
      <c r="W53" s="89"/>
      <c r="X53" s="89"/>
      <c r="Y53" s="89"/>
      <c r="Z53" s="89"/>
      <c r="AA53" s="163"/>
      <c r="AB53" s="90"/>
      <c r="AC53" s="90"/>
    </row>
    <row r="54" spans="9:29" ht="15">
      <c r="I54" s="176">
        <f>SUM(I38:I44)+SUM(I46:I52)</f>
        <v>13.842119032800003</v>
      </c>
      <c r="J54" s="164">
        <v>5</v>
      </c>
      <c r="K54" s="97">
        <v>1.8</v>
      </c>
      <c r="L54" s="97">
        <v>3.3</v>
      </c>
      <c r="M54" s="97">
        <v>5</v>
      </c>
      <c r="N54" s="97">
        <v>5</v>
      </c>
      <c r="O54" s="97">
        <v>10</v>
      </c>
      <c r="P54" s="165">
        <v>10</v>
      </c>
      <c r="Q54" s="268">
        <v>5</v>
      </c>
      <c r="R54" s="97">
        <v>10</v>
      </c>
      <c r="S54" s="97">
        <v>10</v>
      </c>
      <c r="T54" s="97">
        <v>250</v>
      </c>
      <c r="U54" s="97">
        <v>250</v>
      </c>
      <c r="V54" s="97">
        <v>20</v>
      </c>
      <c r="W54" s="97">
        <v>20</v>
      </c>
      <c r="X54" s="97">
        <v>20</v>
      </c>
      <c r="Y54" s="97">
        <v>20</v>
      </c>
      <c r="Z54" s="97">
        <v>20</v>
      </c>
      <c r="AA54" s="165">
        <v>20</v>
      </c>
      <c r="AB54" s="150" t="s">
        <v>80</v>
      </c>
      <c r="AC54" s="99"/>
    </row>
    <row r="55" spans="9:29" ht="15">
      <c r="I55" s="177" t="s">
        <v>252</v>
      </c>
      <c r="J55" s="166">
        <f aca="true" t="shared" si="14" ref="J55:AA55">SUM(J38:J44)+SUM(J46:J51)</f>
        <v>0.05</v>
      </c>
      <c r="K55" s="104">
        <f t="shared" si="14"/>
        <v>0.7146666666666667</v>
      </c>
      <c r="L55" s="104">
        <f t="shared" si="14"/>
        <v>0.7199240533333334</v>
      </c>
      <c r="M55" s="104">
        <f t="shared" si="14"/>
        <v>0.08495000000000001</v>
      </c>
      <c r="N55" s="104">
        <f t="shared" si="14"/>
        <v>0.10870000000000002</v>
      </c>
      <c r="O55" s="104">
        <f t="shared" si="14"/>
        <v>0.07200000000000001</v>
      </c>
      <c r="P55" s="167">
        <f t="shared" si="14"/>
        <v>0.052500000000000005</v>
      </c>
      <c r="Q55" s="166">
        <f t="shared" si="14"/>
        <v>0.024</v>
      </c>
      <c r="R55" s="258">
        <f t="shared" si="14"/>
        <v>0.066</v>
      </c>
      <c r="S55" s="104">
        <f t="shared" si="14"/>
        <v>0.0495</v>
      </c>
      <c r="T55" s="104">
        <f t="shared" si="14"/>
        <v>0.0009</v>
      </c>
      <c r="U55" s="104">
        <f t="shared" si="14"/>
        <v>0.0009</v>
      </c>
      <c r="V55" s="104">
        <f t="shared" si="14"/>
        <v>0.009000000000000001</v>
      </c>
      <c r="W55" s="104">
        <f t="shared" si="14"/>
        <v>0.009000000000000001</v>
      </c>
      <c r="X55" s="104">
        <f t="shared" si="14"/>
        <v>0.009000000000000001</v>
      </c>
      <c r="Y55" s="104">
        <f t="shared" si="14"/>
        <v>0.009000000000000001</v>
      </c>
      <c r="Z55" s="104">
        <f t="shared" si="14"/>
        <v>0.009000000000000001</v>
      </c>
      <c r="AA55" s="167">
        <f t="shared" si="14"/>
        <v>0.009000000000000001</v>
      </c>
      <c r="AB55" s="150" t="s">
        <v>81</v>
      </c>
      <c r="AC55" s="99"/>
    </row>
    <row r="56" spans="9:29" ht="15.75" thickBot="1">
      <c r="I56" s="178"/>
      <c r="J56" s="168">
        <f aca="true" t="shared" si="15" ref="J56:AA56">J54*J55</f>
        <v>0.25</v>
      </c>
      <c r="K56" s="181">
        <f t="shared" si="15"/>
        <v>1.2864</v>
      </c>
      <c r="L56" s="169">
        <f t="shared" si="15"/>
        <v>2.3757493760000004</v>
      </c>
      <c r="M56" s="169">
        <f t="shared" si="15"/>
        <v>0.42475000000000007</v>
      </c>
      <c r="N56" s="169">
        <f t="shared" si="15"/>
        <v>0.5435000000000001</v>
      </c>
      <c r="O56" s="169">
        <f t="shared" si="15"/>
        <v>0.7200000000000001</v>
      </c>
      <c r="P56" s="170">
        <f t="shared" si="15"/>
        <v>0.525</v>
      </c>
      <c r="Q56" s="168">
        <f t="shared" si="15"/>
        <v>0.12</v>
      </c>
      <c r="R56" s="169">
        <f t="shared" si="15"/>
        <v>0.66</v>
      </c>
      <c r="S56" s="169">
        <f t="shared" si="15"/>
        <v>0.495</v>
      </c>
      <c r="T56" s="169">
        <f t="shared" si="15"/>
        <v>0.225</v>
      </c>
      <c r="U56" s="169">
        <f t="shared" si="15"/>
        <v>0.225</v>
      </c>
      <c r="V56" s="169">
        <f t="shared" si="15"/>
        <v>0.18000000000000002</v>
      </c>
      <c r="W56" s="169">
        <f t="shared" si="15"/>
        <v>0.18000000000000002</v>
      </c>
      <c r="X56" s="169">
        <f t="shared" si="15"/>
        <v>0.18000000000000002</v>
      </c>
      <c r="Y56" s="169">
        <f t="shared" si="15"/>
        <v>0.18000000000000002</v>
      </c>
      <c r="Z56" s="169">
        <f t="shared" si="15"/>
        <v>0.18000000000000002</v>
      </c>
      <c r="AA56" s="170">
        <f t="shared" si="15"/>
        <v>0.18000000000000002</v>
      </c>
      <c r="AB56" s="151" t="s">
        <v>4</v>
      </c>
      <c r="AC56" s="110"/>
    </row>
    <row r="58" ht="12.75">
      <c r="L58" s="139"/>
    </row>
  </sheetData>
  <mergeCells count="16">
    <mergeCell ref="Q6:AA6"/>
    <mergeCell ref="Q38:AA38"/>
    <mergeCell ref="I35:I36"/>
    <mergeCell ref="J35:AC36"/>
    <mergeCell ref="J38:P38"/>
    <mergeCell ref="J6:P6"/>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3.xml><?xml version="1.0" encoding="utf-8"?>
<worksheet xmlns="http://schemas.openxmlformats.org/spreadsheetml/2006/main" xmlns:r="http://schemas.openxmlformats.org/officeDocument/2006/relationships">
  <sheetPr>
    <outlinePr summaryBelow="0"/>
    <pageSetUpPr fitToPage="1"/>
  </sheetPr>
  <dimension ref="A1:AC60"/>
  <sheetViews>
    <sheetView zoomScaleSheetLayoutView="100" workbookViewId="0" topLeftCell="F1">
      <selection activeCell="Q31" sqref="Q31"/>
    </sheetView>
  </sheetViews>
  <sheetFormatPr defaultColWidth="9.140625" defaultRowHeight="12.75" outlineLevelRow="1" outlineLevelCol="1"/>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0" width="7.421875" style="0" customWidth="1"/>
    <col min="11" max="11" width="7.421875" style="0" customWidth="1" outlineLevel="1"/>
    <col min="12" max="12" width="6.7109375" style="0" customWidth="1" outlineLevel="1"/>
    <col min="13"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154" t="s">
        <v>131</v>
      </c>
      <c r="Q5" s="264" t="s">
        <v>47</v>
      </c>
      <c r="R5" s="153" t="s">
        <v>53</v>
      </c>
      <c r="S5" s="153" t="s">
        <v>54</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172"/>
      <c r="J6" s="426" t="s">
        <v>128</v>
      </c>
      <c r="K6" s="424"/>
      <c r="L6" s="424"/>
      <c r="M6" s="424"/>
      <c r="N6" s="424"/>
      <c r="O6" s="424"/>
      <c r="P6" s="425"/>
      <c r="Q6" s="426" t="s">
        <v>5</v>
      </c>
      <c r="R6" s="424"/>
      <c r="S6" s="424"/>
      <c r="T6" s="424"/>
      <c r="U6" s="424"/>
      <c r="V6" s="424"/>
      <c r="W6" s="424"/>
      <c r="X6" s="424"/>
      <c r="Y6" s="424"/>
      <c r="Z6" s="424"/>
      <c r="AA6" s="425"/>
      <c r="AB6" s="146"/>
      <c r="AC6" s="52"/>
    </row>
    <row r="7" spans="1:29" ht="12.75" outlineLevel="1">
      <c r="A7" s="64" t="s">
        <v>67</v>
      </c>
      <c r="B7" s="65" t="s">
        <v>13</v>
      </c>
      <c r="C7" s="66" t="s">
        <v>64</v>
      </c>
      <c r="D7" s="59">
        <f t="shared" si="0"/>
        <v>0.15</v>
      </c>
      <c r="E7" s="67">
        <f aca="true" t="shared" si="2" ref="E7:E12">I7</f>
        <v>0.08</v>
      </c>
      <c r="F7" s="68">
        <f t="shared" si="1"/>
        <v>0.25000000000000006</v>
      </c>
      <c r="G7" s="69">
        <v>0.1</v>
      </c>
      <c r="H7" s="70"/>
      <c r="I7" s="173">
        <f aca="true" t="shared" si="3" ref="I7:I12">J7*J$22+K7*K$22+L7*L$22+M7*M$22+N7*N$22+O7*O$22+P7*P$22+Q7*Q$22+R7*R$22+S7*S$22+T7*T$22+U7*U$22+V7*V$22+W7*W$22+X7*X$22+Y7*Y$22+Z7*Z$22+AA7*AA$22</f>
        <v>0.08</v>
      </c>
      <c r="J7" s="64"/>
      <c r="K7" s="56"/>
      <c r="L7" s="56"/>
      <c r="M7" s="56"/>
      <c r="N7" s="56"/>
      <c r="O7" s="56"/>
      <c r="P7" s="180"/>
      <c r="Q7" s="64"/>
      <c r="R7" s="56"/>
      <c r="S7" s="56"/>
      <c r="T7" s="56"/>
      <c r="U7" s="56"/>
      <c r="V7" s="57">
        <v>0.004</v>
      </c>
      <c r="W7" s="57"/>
      <c r="X7" s="57"/>
      <c r="Y7" s="57"/>
      <c r="Z7" s="57"/>
      <c r="AA7" s="155"/>
      <c r="AB7" s="147">
        <f>0.1</f>
        <v>0.1</v>
      </c>
      <c r="AC7" s="60">
        <v>2</v>
      </c>
    </row>
    <row r="8" spans="1:29" ht="12.75" outlineLevel="1">
      <c r="A8" s="64" t="s">
        <v>68</v>
      </c>
      <c r="B8" s="65" t="s">
        <v>13</v>
      </c>
      <c r="C8" s="66" t="s">
        <v>64</v>
      </c>
      <c r="D8" s="59">
        <f t="shared" si="0"/>
        <v>0.15</v>
      </c>
      <c r="E8" s="67">
        <f t="shared" si="2"/>
        <v>0.08</v>
      </c>
      <c r="F8" s="68">
        <f t="shared" si="1"/>
        <v>0.25000000000000006</v>
      </c>
      <c r="G8" s="69">
        <v>0.1</v>
      </c>
      <c r="H8" s="70"/>
      <c r="I8" s="173">
        <f t="shared" si="3"/>
        <v>0.08</v>
      </c>
      <c r="J8" s="64"/>
      <c r="K8" s="56"/>
      <c r="L8" s="56"/>
      <c r="M8" s="56"/>
      <c r="N8" s="56"/>
      <c r="O8" s="56"/>
      <c r="P8" s="180"/>
      <c r="Q8" s="64"/>
      <c r="R8" s="56"/>
      <c r="S8" s="56"/>
      <c r="T8" s="56"/>
      <c r="U8" s="56"/>
      <c r="V8" s="57"/>
      <c r="W8" s="57">
        <v>0.004</v>
      </c>
      <c r="X8" s="57"/>
      <c r="Y8" s="57"/>
      <c r="Z8" s="57"/>
      <c r="AA8" s="155"/>
      <c r="AB8" s="147">
        <f>0.1</f>
        <v>0.1</v>
      </c>
      <c r="AC8" s="60">
        <v>2</v>
      </c>
    </row>
    <row r="9" spans="1:29" ht="12.75" outlineLevel="1">
      <c r="A9" s="64" t="s">
        <v>69</v>
      </c>
      <c r="B9" s="65" t="s">
        <v>13</v>
      </c>
      <c r="C9" s="66" t="s">
        <v>64</v>
      </c>
      <c r="D9" s="59">
        <f t="shared" si="0"/>
        <v>0.15</v>
      </c>
      <c r="E9" s="67">
        <f t="shared" si="2"/>
        <v>0.08</v>
      </c>
      <c r="F9" s="68">
        <f t="shared" si="1"/>
        <v>0.25000000000000006</v>
      </c>
      <c r="G9" s="69">
        <v>0.1</v>
      </c>
      <c r="H9" s="70"/>
      <c r="I9" s="173">
        <f t="shared" si="3"/>
        <v>0.08</v>
      </c>
      <c r="J9" s="64"/>
      <c r="K9" s="56"/>
      <c r="L9" s="56"/>
      <c r="M9" s="56"/>
      <c r="N9" s="56"/>
      <c r="O9" s="56"/>
      <c r="P9" s="180"/>
      <c r="Q9" s="64"/>
      <c r="R9" s="56"/>
      <c r="S9" s="56"/>
      <c r="T9" s="56"/>
      <c r="U9" s="56"/>
      <c r="V9" s="57"/>
      <c r="W9" s="57"/>
      <c r="X9" s="57">
        <v>0.004</v>
      </c>
      <c r="Y9" s="57"/>
      <c r="Z9" s="57"/>
      <c r="AA9" s="155"/>
      <c r="AB9" s="147">
        <f>0.1</f>
        <v>0.1</v>
      </c>
      <c r="AC9" s="60">
        <v>2</v>
      </c>
    </row>
    <row r="10" spans="1:29" ht="12.75" outlineLevel="1">
      <c r="A10" s="64" t="s">
        <v>70</v>
      </c>
      <c r="B10" s="65" t="s">
        <v>13</v>
      </c>
      <c r="C10" s="66" t="s">
        <v>64</v>
      </c>
      <c r="D10" s="59">
        <f t="shared" si="0"/>
        <v>0.15</v>
      </c>
      <c r="E10" s="67">
        <f t="shared" si="2"/>
        <v>0.08</v>
      </c>
      <c r="F10" s="68">
        <f t="shared" si="1"/>
        <v>0.25000000000000006</v>
      </c>
      <c r="G10" s="69">
        <v>0.1</v>
      </c>
      <c r="H10" s="70"/>
      <c r="I10" s="173">
        <f t="shared" si="3"/>
        <v>0.08</v>
      </c>
      <c r="J10" s="64"/>
      <c r="K10" s="56"/>
      <c r="L10" s="56"/>
      <c r="M10" s="56"/>
      <c r="N10" s="56"/>
      <c r="O10" s="56"/>
      <c r="P10" s="180"/>
      <c r="Q10" s="64"/>
      <c r="R10" s="56"/>
      <c r="S10" s="56"/>
      <c r="T10" s="56"/>
      <c r="U10" s="56"/>
      <c r="V10" s="57"/>
      <c r="W10" s="57"/>
      <c r="X10" s="57"/>
      <c r="Y10" s="57">
        <v>0.004</v>
      </c>
      <c r="Z10" s="57"/>
      <c r="AA10" s="155"/>
      <c r="AB10" s="147">
        <f>0.1</f>
        <v>0.1</v>
      </c>
      <c r="AC10" s="60">
        <v>2</v>
      </c>
    </row>
    <row r="11" spans="1:29" ht="12.75" outlineLevel="1">
      <c r="A11" s="64" t="s">
        <v>71</v>
      </c>
      <c r="B11" s="65" t="s">
        <v>13</v>
      </c>
      <c r="C11" s="66" t="s">
        <v>64</v>
      </c>
      <c r="D11" s="59">
        <f t="shared" si="0"/>
        <v>0.15</v>
      </c>
      <c r="E11" s="67">
        <f t="shared" si="2"/>
        <v>0.08</v>
      </c>
      <c r="F11" s="68">
        <f t="shared" si="1"/>
        <v>0.25000000000000006</v>
      </c>
      <c r="G11" s="69">
        <v>0.1</v>
      </c>
      <c r="H11" s="70"/>
      <c r="I11" s="173">
        <f t="shared" si="3"/>
        <v>0.08</v>
      </c>
      <c r="J11" s="64"/>
      <c r="K11" s="56"/>
      <c r="L11" s="56"/>
      <c r="M11" s="56"/>
      <c r="N11" s="56"/>
      <c r="O11" s="56"/>
      <c r="P11" s="180"/>
      <c r="Q11" s="64"/>
      <c r="R11" s="56"/>
      <c r="S11" s="56"/>
      <c r="T11" s="56"/>
      <c r="U11" s="56"/>
      <c r="V11" s="57"/>
      <c r="W11" s="57"/>
      <c r="X11" s="57"/>
      <c r="Y11" s="57"/>
      <c r="Z11" s="57">
        <v>0.004</v>
      </c>
      <c r="AA11" s="155"/>
      <c r="AB11" s="147">
        <f>28/31</f>
        <v>0.9032258064516129</v>
      </c>
      <c r="AC11" s="60"/>
    </row>
    <row r="12" spans="1:29" ht="12.75" outlineLevel="1">
      <c r="A12" s="64" t="s">
        <v>72</v>
      </c>
      <c r="B12" s="65" t="s">
        <v>13</v>
      </c>
      <c r="C12" s="66" t="s">
        <v>64</v>
      </c>
      <c r="D12" s="59">
        <f t="shared" si="0"/>
        <v>0.15</v>
      </c>
      <c r="E12" s="67">
        <f t="shared" si="2"/>
        <v>0.08</v>
      </c>
      <c r="F12" s="68">
        <f t="shared" si="1"/>
        <v>0.25000000000000006</v>
      </c>
      <c r="G12" s="69">
        <v>0.1</v>
      </c>
      <c r="H12" s="70"/>
      <c r="I12" s="173">
        <f t="shared" si="3"/>
        <v>0.08</v>
      </c>
      <c r="J12" s="64"/>
      <c r="K12" s="56"/>
      <c r="L12" s="56"/>
      <c r="M12" s="56"/>
      <c r="N12" s="56"/>
      <c r="O12" s="56"/>
      <c r="P12" s="180"/>
      <c r="Q12" s="64"/>
      <c r="R12" s="56"/>
      <c r="S12" s="56"/>
      <c r="T12" s="56"/>
      <c r="U12" s="56"/>
      <c r="V12" s="57"/>
      <c r="W12" s="57"/>
      <c r="X12" s="57"/>
      <c r="Y12" s="57"/>
      <c r="Z12" s="57"/>
      <c r="AA12" s="155">
        <v>0.004</v>
      </c>
      <c r="AB12" s="147">
        <f>28/31</f>
        <v>0.9032258064516129</v>
      </c>
      <c r="AC12" s="60"/>
    </row>
    <row r="13" spans="1:29" s="53" customFormat="1" ht="15.75" outlineLevel="1">
      <c r="A13" s="72" t="s">
        <v>73</v>
      </c>
      <c r="B13" s="73"/>
      <c r="C13" s="73"/>
      <c r="D13" s="74" t="str">
        <f t="shared" si="0"/>
        <v> </v>
      </c>
      <c r="E13" s="119">
        <f>SUM(E14:E20)</f>
        <v>7.1688867812799995</v>
      </c>
      <c r="F13" s="120">
        <f t="shared" si="1"/>
        <v>0.17005500686318972</v>
      </c>
      <c r="G13" s="121">
        <f>SUM(G14:G20)</f>
        <v>8.387991872072</v>
      </c>
      <c r="H13" s="61"/>
      <c r="I13" s="174"/>
      <c r="J13" s="156"/>
      <c r="K13" s="51"/>
      <c r="L13" s="51"/>
      <c r="M13" s="51"/>
      <c r="N13" s="51"/>
      <c r="O13" s="51"/>
      <c r="P13" s="157"/>
      <c r="Q13" s="156"/>
      <c r="R13" s="51"/>
      <c r="S13" s="51"/>
      <c r="T13" s="51"/>
      <c r="U13" s="51"/>
      <c r="V13" s="51"/>
      <c r="W13" s="51"/>
      <c r="X13" s="51"/>
      <c r="Y13" s="51"/>
      <c r="Z13" s="51"/>
      <c r="AA13" s="157"/>
      <c r="AB13" s="146"/>
      <c r="AC13" s="52"/>
    </row>
    <row r="14" spans="1:29" ht="12.75" outlineLevel="1">
      <c r="A14" s="64" t="s">
        <v>74</v>
      </c>
      <c r="B14" s="76" t="s">
        <v>13</v>
      </c>
      <c r="C14" s="30" t="s">
        <v>64</v>
      </c>
      <c r="D14" s="77">
        <f t="shared" si="0"/>
        <v>0.15</v>
      </c>
      <c r="E14" s="70">
        <f aca="true" t="shared" si="4" ref="E14:E20">I14</f>
        <v>1.442</v>
      </c>
      <c r="F14" s="68">
        <f aca="true" t="shared" si="5" ref="F14:F20">D14</f>
        <v>0.15</v>
      </c>
      <c r="G14" s="118">
        <f aca="true" t="shared" si="6" ref="G14:G20">E14*(1+F14)</f>
        <v>1.6582999999999999</v>
      </c>
      <c r="H14" s="70"/>
      <c r="I14" s="173">
        <f aca="true" t="shared" si="7" ref="I14:I20">J14*J$22+K14*K$22+L14*L$22+M14*M$22+N14*N$22+O14*O$22+P14*P$22+Q14*Q$22+R14*R$22+S14*S$22+T14*T$22+U14*U$22+V14*V$22+W14*W$22+X14*X$22+Y14*Y$22+Z14*Z$22+AA14*AA$22</f>
        <v>1.442</v>
      </c>
      <c r="J14" s="159">
        <f>DFB_2007_05_22!$R$21/1000</f>
        <v>0.01</v>
      </c>
      <c r="K14" s="57">
        <f>DFB_2007_05_22!$Y$21/1000</f>
        <v>0.25</v>
      </c>
      <c r="L14" s="57">
        <f>DFB_2007_05_22!$V$21/1000</f>
        <v>0.09</v>
      </c>
      <c r="M14" s="57">
        <f>DFB_2007_05_22!$L$21/1000</f>
        <v>0.04</v>
      </c>
      <c r="N14" s="144">
        <f>DFB_2007_05_22!$O$21/1000</f>
        <v>0.05</v>
      </c>
      <c r="O14" s="207">
        <f>DFB_2007_05_22!$F$21/1000</f>
        <v>0.0165</v>
      </c>
      <c r="P14" s="155">
        <f>DFB_2007_05_22!$I$21/1000</f>
        <v>0.0105</v>
      </c>
      <c r="Q14" s="158"/>
      <c r="R14" s="143"/>
      <c r="S14" s="143"/>
      <c r="T14" s="57"/>
      <c r="U14" s="57"/>
      <c r="V14" s="57"/>
      <c r="W14" s="57"/>
      <c r="X14" s="57"/>
      <c r="Y14" s="57"/>
      <c r="Z14" s="57"/>
      <c r="AA14" s="155"/>
      <c r="AB14" s="148"/>
      <c r="AC14" s="58"/>
    </row>
    <row r="15" spans="1:29" ht="12.75" outlineLevel="1">
      <c r="A15" s="64" t="s">
        <v>117</v>
      </c>
      <c r="B15" s="54"/>
      <c r="C15" s="30" t="s">
        <v>65</v>
      </c>
      <c r="D15" s="59">
        <f t="shared" si="0"/>
        <v>0.25</v>
      </c>
      <c r="E15" s="67">
        <f t="shared" si="4"/>
        <v>0.36000000000000004</v>
      </c>
      <c r="F15" s="68">
        <f t="shared" si="5"/>
        <v>0.25</v>
      </c>
      <c r="G15" s="118">
        <f t="shared" si="6"/>
        <v>0.45000000000000007</v>
      </c>
      <c r="H15" s="70"/>
      <c r="I15" s="173">
        <f t="shared" si="7"/>
        <v>0.36000000000000004</v>
      </c>
      <c r="J15" s="159"/>
      <c r="K15" s="57"/>
      <c r="L15" s="57"/>
      <c r="M15" s="57"/>
      <c r="N15" s="57"/>
      <c r="O15" s="182"/>
      <c r="P15" s="183"/>
      <c r="Q15" s="159"/>
      <c r="R15" s="57">
        <f>0.006*3</f>
        <v>0.018000000000000002</v>
      </c>
      <c r="S15" s="57">
        <f>R15</f>
        <v>0.018000000000000002</v>
      </c>
      <c r="T15" s="57"/>
      <c r="U15" s="57"/>
      <c r="V15" s="57"/>
      <c r="W15" s="57"/>
      <c r="X15" s="57"/>
      <c r="Y15" s="57"/>
      <c r="Z15" s="57"/>
      <c r="AA15" s="155"/>
      <c r="AB15" s="148"/>
      <c r="AC15" s="58"/>
    </row>
    <row r="16" spans="1:29" ht="12.75" outlineLevel="1">
      <c r="A16" s="64" t="s">
        <v>75</v>
      </c>
      <c r="B16" s="65" t="s">
        <v>13</v>
      </c>
      <c r="C16" s="30" t="s">
        <v>64</v>
      </c>
      <c r="D16" s="59">
        <f t="shared" si="0"/>
        <v>0.15</v>
      </c>
      <c r="E16" s="67">
        <f t="shared" si="4"/>
        <v>1.0300000000000002</v>
      </c>
      <c r="F16" s="68">
        <f t="shared" si="5"/>
        <v>0.15</v>
      </c>
      <c r="G16" s="118">
        <f t="shared" si="6"/>
        <v>1.1845</v>
      </c>
      <c r="H16" s="70"/>
      <c r="I16" s="173">
        <f t="shared" si="7"/>
        <v>1.0300000000000002</v>
      </c>
      <c r="J16" s="159"/>
      <c r="K16" s="57"/>
      <c r="L16" s="57"/>
      <c r="M16" s="57"/>
      <c r="N16" s="57"/>
      <c r="O16" s="182"/>
      <c r="P16" s="183"/>
      <c r="Q16" s="159">
        <f>0.016</f>
        <v>0.016</v>
      </c>
      <c r="R16" s="57">
        <v>0.026</v>
      </c>
      <c r="S16" s="57">
        <v>0.015</v>
      </c>
      <c r="T16" s="57">
        <f>0.001*0.6</f>
        <v>0.0006</v>
      </c>
      <c r="U16" s="57">
        <f>0.001*0.6</f>
        <v>0.0006</v>
      </c>
      <c r="V16" s="57">
        <v>0.002</v>
      </c>
      <c r="W16" s="57">
        <v>0.002</v>
      </c>
      <c r="X16" s="57">
        <v>0.002</v>
      </c>
      <c r="Y16" s="57">
        <v>0.002</v>
      </c>
      <c r="Z16" s="57">
        <v>0.002</v>
      </c>
      <c r="AA16" s="155">
        <v>0.002</v>
      </c>
      <c r="AB16" s="148"/>
      <c r="AC16" s="58"/>
    </row>
    <row r="17" spans="1:29" ht="12.75" outlineLevel="1">
      <c r="A17" s="64" t="s">
        <v>76</v>
      </c>
      <c r="B17" s="65" t="s">
        <v>13</v>
      </c>
      <c r="C17" s="30" t="s">
        <v>64</v>
      </c>
      <c r="D17" s="59">
        <f t="shared" si="0"/>
        <v>0.15</v>
      </c>
      <c r="E17" s="67">
        <f t="shared" si="4"/>
        <v>0.4875</v>
      </c>
      <c r="F17" s="68">
        <f t="shared" si="5"/>
        <v>0.15</v>
      </c>
      <c r="G17" s="118">
        <f t="shared" si="6"/>
        <v>0.5606249999999999</v>
      </c>
      <c r="H17" s="70"/>
      <c r="I17" s="173">
        <f t="shared" si="7"/>
        <v>0.4875</v>
      </c>
      <c r="J17" s="159"/>
      <c r="K17" s="57"/>
      <c r="L17" s="57"/>
      <c r="M17" s="57">
        <v>0.0025</v>
      </c>
      <c r="N17" s="57">
        <v>0.005</v>
      </c>
      <c r="O17" s="182">
        <v>0.025</v>
      </c>
      <c r="P17" s="183">
        <v>0.02</v>
      </c>
      <c r="Q17" s="158"/>
      <c r="R17" s="143"/>
      <c r="S17" s="143"/>
      <c r="T17" s="57"/>
      <c r="U17" s="57"/>
      <c r="V17" s="57"/>
      <c r="W17" s="57"/>
      <c r="X17" s="57"/>
      <c r="Y17" s="57"/>
      <c r="Z17" s="57"/>
      <c r="AA17" s="155"/>
      <c r="AB17" s="148"/>
      <c r="AC17" s="58"/>
    </row>
    <row r="18" spans="1:29" ht="12.75" outlineLevel="1">
      <c r="A18" s="64" t="s">
        <v>85</v>
      </c>
      <c r="B18" s="65"/>
      <c r="C18" s="66" t="s">
        <v>65</v>
      </c>
      <c r="D18" s="59">
        <f t="shared" si="0"/>
        <v>0.25</v>
      </c>
      <c r="E18" s="67">
        <f t="shared" si="4"/>
        <v>0.2112</v>
      </c>
      <c r="F18" s="68">
        <f t="shared" si="5"/>
        <v>0.25</v>
      </c>
      <c r="G18" s="118">
        <f t="shared" si="6"/>
        <v>0.264</v>
      </c>
      <c r="H18" s="70"/>
      <c r="I18" s="173">
        <f t="shared" si="7"/>
        <v>0.2112</v>
      </c>
      <c r="J18" s="159"/>
      <c r="K18" s="57"/>
      <c r="L18" s="57">
        <f>DCB_2008_02_12!$H$10/1000</f>
        <v>0.064</v>
      </c>
      <c r="M18" s="57"/>
      <c r="N18" s="57"/>
      <c r="O18" s="57"/>
      <c r="P18" s="155"/>
      <c r="Q18" s="159"/>
      <c r="R18" s="57"/>
      <c r="S18" s="57"/>
      <c r="T18" s="57"/>
      <c r="U18" s="57"/>
      <c r="V18" s="57"/>
      <c r="W18" s="57"/>
      <c r="X18" s="57"/>
      <c r="Y18" s="57"/>
      <c r="Z18" s="57"/>
      <c r="AA18" s="155"/>
      <c r="AB18" s="148"/>
      <c r="AC18" s="58"/>
    </row>
    <row r="19" spans="1:29" ht="12.75" outlineLevel="1">
      <c r="A19" s="64" t="s">
        <v>77</v>
      </c>
      <c r="B19" s="65"/>
      <c r="C19" s="66" t="s">
        <v>65</v>
      </c>
      <c r="D19" s="59">
        <f t="shared" si="0"/>
        <v>0.25</v>
      </c>
      <c r="E19" s="67">
        <f t="shared" si="4"/>
        <v>0.8665207360000001</v>
      </c>
      <c r="F19" s="68">
        <f t="shared" si="5"/>
        <v>0.25</v>
      </c>
      <c r="G19" s="118">
        <f t="shared" si="6"/>
        <v>1.0831509200000002</v>
      </c>
      <c r="H19" s="70"/>
      <c r="I19" s="173">
        <f t="shared" si="7"/>
        <v>0.8665207360000001</v>
      </c>
      <c r="J19" s="159">
        <v>0.02</v>
      </c>
      <c r="K19" s="57">
        <f>DCB_2008_02_12!$H$24/1000</f>
        <v>0.10733333333333332</v>
      </c>
      <c r="L19" s="57">
        <f>DCB_2008_02_12!$H$23/1000-L18</f>
        <v>0.17500628363636367</v>
      </c>
      <c r="M19" s="57">
        <f>DCB_2008_02_12!K14/10/1000</f>
        <v>0.0008</v>
      </c>
      <c r="N19" s="144">
        <f>M19</f>
        <v>0.0008</v>
      </c>
      <c r="O19" s="185">
        <v>0.001</v>
      </c>
      <c r="P19" s="184">
        <v>0.001</v>
      </c>
      <c r="Q19" s="159"/>
      <c r="R19" s="57"/>
      <c r="S19" s="57"/>
      <c r="T19" s="57"/>
      <c r="U19" s="57"/>
      <c r="V19" s="57"/>
      <c r="W19" s="57"/>
      <c r="X19" s="57"/>
      <c r="Y19" s="57"/>
      <c r="Z19" s="57"/>
      <c r="AA19" s="155"/>
      <c r="AB19" s="148"/>
      <c r="AC19" s="58"/>
    </row>
    <row r="20" spans="1:29" ht="12.75" outlineLevel="1">
      <c r="A20" s="80" t="s">
        <v>78</v>
      </c>
      <c r="B20" s="81" t="s">
        <v>13</v>
      </c>
      <c r="C20" s="82" t="s">
        <v>64</v>
      </c>
      <c r="D20" s="83">
        <f t="shared" si="0"/>
        <v>0.15</v>
      </c>
      <c r="E20" s="84">
        <f t="shared" si="4"/>
        <v>2.7716660452799995</v>
      </c>
      <c r="F20" s="135">
        <f t="shared" si="5"/>
        <v>0.15</v>
      </c>
      <c r="G20" s="136">
        <f t="shared" si="6"/>
        <v>3.187415952071999</v>
      </c>
      <c r="H20" s="70"/>
      <c r="I20" s="173">
        <f t="shared" si="7"/>
        <v>2.7716660452799995</v>
      </c>
      <c r="J20" s="271">
        <f aca="true" t="shared" si="8" ref="J20:AA20">SUM(J6:J19)*$L$25</f>
        <v>0.0165</v>
      </c>
      <c r="K20" s="249">
        <f>SUM(K6:K19)*$L$25*(1+O26)</f>
        <v>0.2161866666666667</v>
      </c>
      <c r="L20" s="140">
        <f>SUM(L6:L19)*$L$25*(1+O26)</f>
        <v>0.19904880160000002</v>
      </c>
      <c r="M20" s="207">
        <f t="shared" si="8"/>
        <v>0.023815000000000006</v>
      </c>
      <c r="N20" s="207">
        <f t="shared" si="8"/>
        <v>0.030690000000000005</v>
      </c>
      <c r="O20" s="207">
        <f t="shared" si="8"/>
        <v>0.023375000000000003</v>
      </c>
      <c r="P20" s="274">
        <f t="shared" si="8"/>
        <v>0.017325</v>
      </c>
      <c r="Q20" s="271">
        <f t="shared" si="8"/>
        <v>0.0088</v>
      </c>
      <c r="R20" s="207">
        <f t="shared" si="8"/>
        <v>0.0242</v>
      </c>
      <c r="S20" s="207">
        <f t="shared" si="8"/>
        <v>0.018150000000000003</v>
      </c>
      <c r="T20" s="207">
        <f t="shared" si="8"/>
        <v>0.00033</v>
      </c>
      <c r="U20" s="207">
        <f t="shared" si="8"/>
        <v>0.00033</v>
      </c>
      <c r="V20" s="207">
        <f t="shared" si="8"/>
        <v>0.0033000000000000004</v>
      </c>
      <c r="W20" s="207">
        <f t="shared" si="8"/>
        <v>0.0033000000000000004</v>
      </c>
      <c r="X20" s="207">
        <f t="shared" si="8"/>
        <v>0.0033000000000000004</v>
      </c>
      <c r="Y20" s="207">
        <f t="shared" si="8"/>
        <v>0.0033000000000000004</v>
      </c>
      <c r="Z20" s="207">
        <f t="shared" si="8"/>
        <v>0.0033000000000000004</v>
      </c>
      <c r="AA20" s="274">
        <f t="shared" si="8"/>
        <v>0.0033000000000000004</v>
      </c>
      <c r="AB20" s="149"/>
      <c r="AC20" s="87"/>
    </row>
    <row r="21" spans="1:29" ht="12.75">
      <c r="A21" s="88"/>
      <c r="B21" s="39"/>
      <c r="C21" s="66"/>
      <c r="D21" s="59"/>
      <c r="E21" s="67"/>
      <c r="F21" s="68"/>
      <c r="G21" s="69"/>
      <c r="H21" s="70"/>
      <c r="I21" s="175"/>
      <c r="J21" s="162"/>
      <c r="K21" s="89"/>
      <c r="L21" s="89"/>
      <c r="M21" s="89"/>
      <c r="N21" s="89"/>
      <c r="O21" s="89"/>
      <c r="P21" s="163"/>
      <c r="Q21" s="162"/>
      <c r="R21" s="89"/>
      <c r="S21" s="89"/>
      <c r="T21" s="89"/>
      <c r="U21" s="89"/>
      <c r="V21" s="89"/>
      <c r="W21" s="89"/>
      <c r="X21" s="89"/>
      <c r="Y21" s="89"/>
      <c r="Z21" s="89"/>
      <c r="AA21" s="163"/>
      <c r="AB21" s="90"/>
      <c r="AC21" s="225"/>
    </row>
    <row r="22" spans="1:29" s="53" customFormat="1" ht="16.5" thickBot="1">
      <c r="A22" s="91" t="s">
        <v>79</v>
      </c>
      <c r="B22" s="92"/>
      <c r="C22" s="92"/>
      <c r="D22" s="238"/>
      <c r="E22" s="239">
        <f>SUM(E13+E6)</f>
        <v>7.64888678128</v>
      </c>
      <c r="F22" s="240">
        <f>(G22-E22)/E22</f>
        <v>0.17507189334653842</v>
      </c>
      <c r="G22" s="241">
        <f>SUM(G13+G6)</f>
        <v>8.987991872072</v>
      </c>
      <c r="H22" s="94"/>
      <c r="I22" s="176">
        <f>SUM(I6:I12)+SUM(I14:I20)</f>
        <v>7.64888678128</v>
      </c>
      <c r="J22" s="164">
        <v>5</v>
      </c>
      <c r="K22" s="97">
        <v>1.5</v>
      </c>
      <c r="L22" s="97">
        <v>3.3</v>
      </c>
      <c r="M22" s="97">
        <v>5</v>
      </c>
      <c r="N22" s="97">
        <v>5</v>
      </c>
      <c r="O22" s="97">
        <v>10</v>
      </c>
      <c r="P22" s="165">
        <v>10</v>
      </c>
      <c r="Q22" s="164">
        <v>5</v>
      </c>
      <c r="R22" s="97">
        <v>10</v>
      </c>
      <c r="S22" s="97">
        <v>10</v>
      </c>
      <c r="T22" s="97">
        <v>250</v>
      </c>
      <c r="U22" s="97">
        <v>250</v>
      </c>
      <c r="V22" s="97">
        <v>20</v>
      </c>
      <c r="W22" s="97">
        <v>20</v>
      </c>
      <c r="X22" s="97">
        <v>20</v>
      </c>
      <c r="Y22" s="97">
        <v>20</v>
      </c>
      <c r="Z22" s="97">
        <v>20</v>
      </c>
      <c r="AA22" s="165">
        <v>20</v>
      </c>
      <c r="AB22" s="150" t="s">
        <v>80</v>
      </c>
      <c r="AC22" s="99"/>
    </row>
    <row r="23" spans="1:29" s="53" customFormat="1" ht="16.5" thickBot="1">
      <c r="A23" s="100"/>
      <c r="B23" s="63"/>
      <c r="C23" s="101"/>
      <c r="D23" s="242" t="s">
        <v>252</v>
      </c>
      <c r="E23" s="244">
        <f>I54</f>
        <v>13.699425248480003</v>
      </c>
      <c r="F23" s="243">
        <f>F22</f>
        <v>0.17507189334653842</v>
      </c>
      <c r="G23" s="245">
        <f>E23*(1+F23)</f>
        <v>16.09780956449077</v>
      </c>
      <c r="H23" s="94"/>
      <c r="I23" s="177" t="s">
        <v>258</v>
      </c>
      <c r="J23" s="166">
        <f aca="true" t="shared" si="9" ref="J23:AA23">SUM(J6:J12)+SUM(J14:J19)</f>
        <v>0.03</v>
      </c>
      <c r="K23" s="104">
        <f t="shared" si="9"/>
        <v>0.35733333333333334</v>
      </c>
      <c r="L23" s="104">
        <f t="shared" si="9"/>
        <v>0.32900628363636364</v>
      </c>
      <c r="M23" s="104">
        <f t="shared" si="9"/>
        <v>0.043300000000000005</v>
      </c>
      <c r="N23" s="104">
        <f t="shared" si="9"/>
        <v>0.0558</v>
      </c>
      <c r="O23" s="104">
        <f t="shared" si="9"/>
        <v>0.0425</v>
      </c>
      <c r="P23" s="167">
        <f t="shared" si="9"/>
        <v>0.0315</v>
      </c>
      <c r="Q23" s="166">
        <f t="shared" si="9"/>
        <v>0.016</v>
      </c>
      <c r="R23" s="104">
        <f t="shared" si="9"/>
        <v>0.044</v>
      </c>
      <c r="S23" s="104">
        <f>SUM(S6:S12)+SUM(S14:S19)</f>
        <v>0.033</v>
      </c>
      <c r="T23" s="104">
        <f t="shared" si="9"/>
        <v>0.0006</v>
      </c>
      <c r="U23" s="104">
        <f t="shared" si="9"/>
        <v>0.0006</v>
      </c>
      <c r="V23" s="104">
        <f t="shared" si="9"/>
        <v>0.006</v>
      </c>
      <c r="W23" s="104">
        <f t="shared" si="9"/>
        <v>0.006</v>
      </c>
      <c r="X23" s="104">
        <f t="shared" si="9"/>
        <v>0.006</v>
      </c>
      <c r="Y23" s="104">
        <f t="shared" si="9"/>
        <v>0.006</v>
      </c>
      <c r="Z23" s="104">
        <f t="shared" si="9"/>
        <v>0.006</v>
      </c>
      <c r="AA23" s="167">
        <f t="shared" si="9"/>
        <v>0.006</v>
      </c>
      <c r="AB23" s="150" t="s">
        <v>81</v>
      </c>
      <c r="AC23" s="99"/>
    </row>
    <row r="24" spans="1:29" s="53" customFormat="1" ht="16.5" thickBot="1">
      <c r="A24"/>
      <c r="B24" s="66"/>
      <c r="H24" s="105"/>
      <c r="I24" s="178"/>
      <c r="J24" s="168">
        <f>J22*J23</f>
        <v>0.15</v>
      </c>
      <c r="K24" s="181">
        <f aca="true" t="shared" si="10" ref="K24:AA24">K22*K23</f>
        <v>0.536</v>
      </c>
      <c r="L24" s="169">
        <f t="shared" si="10"/>
        <v>1.0857207359999999</v>
      </c>
      <c r="M24" s="169">
        <f t="shared" si="10"/>
        <v>0.21650000000000003</v>
      </c>
      <c r="N24" s="169">
        <f t="shared" si="10"/>
        <v>0.279</v>
      </c>
      <c r="O24" s="169">
        <f t="shared" si="10"/>
        <v>0.42500000000000004</v>
      </c>
      <c r="P24" s="170">
        <f t="shared" si="10"/>
        <v>0.315</v>
      </c>
      <c r="Q24" s="168">
        <f t="shared" si="10"/>
        <v>0.08</v>
      </c>
      <c r="R24" s="169">
        <f t="shared" si="10"/>
        <v>0.43999999999999995</v>
      </c>
      <c r="S24" s="169">
        <f t="shared" si="10"/>
        <v>0.33</v>
      </c>
      <c r="T24" s="169">
        <f t="shared" si="10"/>
        <v>0.15</v>
      </c>
      <c r="U24" s="169">
        <f t="shared" si="10"/>
        <v>0.15</v>
      </c>
      <c r="V24" s="169">
        <f t="shared" si="10"/>
        <v>0.12</v>
      </c>
      <c r="W24" s="169">
        <f t="shared" si="10"/>
        <v>0.12</v>
      </c>
      <c r="X24" s="169">
        <f t="shared" si="10"/>
        <v>0.12</v>
      </c>
      <c r="Y24" s="169">
        <f t="shared" si="10"/>
        <v>0.12</v>
      </c>
      <c r="Z24" s="169">
        <f t="shared" si="10"/>
        <v>0.12</v>
      </c>
      <c r="AA24" s="170">
        <f t="shared" si="10"/>
        <v>0.12</v>
      </c>
      <c r="AB24" s="151" t="s">
        <v>4</v>
      </c>
      <c r="AC24" s="110"/>
    </row>
    <row r="25" spans="1:29" s="53" customFormat="1" ht="15" outlineLevel="1">
      <c r="A25"/>
      <c r="B25" s="39"/>
      <c r="C25" s="63"/>
      <c r="D25" s="63"/>
      <c r="E25" s="112"/>
      <c r="F25" s="112"/>
      <c r="G25" s="112"/>
      <c r="H25" s="94"/>
      <c r="I25" s="1" t="s">
        <v>82</v>
      </c>
      <c r="L25" s="112">
        <v>0.55</v>
      </c>
      <c r="M25" s="113"/>
      <c r="N25" s="79" t="s">
        <v>261</v>
      </c>
      <c r="P25" s="79">
        <f>1/(1+L25)</f>
        <v>0.6451612903225806</v>
      </c>
      <c r="Q25" s="53" t="s">
        <v>262</v>
      </c>
      <c r="AC25" s="71"/>
    </row>
    <row r="26" spans="2:15" ht="12.75" outlineLevel="1">
      <c r="B26" s="39"/>
      <c r="C26" s="65"/>
      <c r="D26" s="114"/>
      <c r="E26" s="115"/>
      <c r="F26" s="70"/>
      <c r="G26" s="116"/>
      <c r="I26" s="113" t="s">
        <v>118</v>
      </c>
      <c r="O26" s="138">
        <v>0.1</v>
      </c>
    </row>
    <row r="27" spans="1:28" ht="38.25" outlineLevel="1">
      <c r="A27" s="133" t="s">
        <v>107</v>
      </c>
      <c r="B27" s="134" t="s">
        <v>108</v>
      </c>
      <c r="C27" s="134" t="s">
        <v>112</v>
      </c>
      <c r="D27" s="418" t="s">
        <v>101</v>
      </c>
      <c r="E27" s="390"/>
      <c r="F27" s="390"/>
      <c r="G27" s="390"/>
      <c r="H27" s="390"/>
      <c r="I27" s="117"/>
      <c r="L27" s="139"/>
      <c r="M27" s="1"/>
      <c r="N27" s="1"/>
      <c r="AB27" s="111"/>
    </row>
    <row r="28" spans="1:14" ht="12.75" outlineLevel="1">
      <c r="A28" s="20" t="s">
        <v>96</v>
      </c>
      <c r="B28" s="21">
        <f>G22</f>
        <v>8.987991872072</v>
      </c>
      <c r="C28" s="131">
        <f>G23/B33</f>
        <v>0.7317186165677623</v>
      </c>
      <c r="D28" s="450" t="s">
        <v>253</v>
      </c>
      <c r="E28" s="450"/>
      <c r="F28" s="450"/>
      <c r="G28" s="450"/>
      <c r="H28" s="450"/>
      <c r="I28"/>
      <c r="J28" t="s">
        <v>264</v>
      </c>
      <c r="M28" s="139">
        <f>SUM(J14:J19)+SUM(K14:K19)*(K22/J22)*(1/(1-O26))+SUM(L14:L19)*(L22/J22)*(1/(1-O26))</f>
        <v>0.3903823857777778</v>
      </c>
      <c r="N28" t="s">
        <v>121</v>
      </c>
    </row>
    <row r="29" spans="1:21" ht="12.75" outlineLevel="1">
      <c r="A29" s="132" t="s">
        <v>98</v>
      </c>
      <c r="B29" s="21">
        <f>B28/2</f>
        <v>4.493995936036</v>
      </c>
      <c r="C29" s="131">
        <f>35/F39</f>
        <v>0.324979044961281</v>
      </c>
      <c r="D29" s="449" t="s">
        <v>114</v>
      </c>
      <c r="E29" s="450"/>
      <c r="F29" s="450"/>
      <c r="G29" s="450"/>
      <c r="H29" s="450"/>
      <c r="L29" s="139"/>
      <c r="U29" s="113"/>
    </row>
    <row r="30" spans="1:9" ht="12.75" outlineLevel="1">
      <c r="A30" s="132" t="s">
        <v>99</v>
      </c>
      <c r="B30" s="21">
        <f>C38</f>
        <v>0.3372727272727272</v>
      </c>
      <c r="C30" s="21">
        <f>MAX(C36:C38)</f>
        <v>2</v>
      </c>
      <c r="D30" s="449" t="s">
        <v>115</v>
      </c>
      <c r="E30" s="450"/>
      <c r="F30" s="450"/>
      <c r="G30" s="450"/>
      <c r="H30" s="450"/>
      <c r="I30" s="79"/>
    </row>
    <row r="31" spans="1:13" ht="12.75" outlineLevel="1">
      <c r="A31" s="132" t="s">
        <v>100</v>
      </c>
      <c r="B31" s="21">
        <f>C38/2</f>
        <v>0.1686363636363636</v>
      </c>
      <c r="C31" s="21">
        <f>MAX(C36:C38)</f>
        <v>2</v>
      </c>
      <c r="D31" s="449" t="s">
        <v>116</v>
      </c>
      <c r="E31" s="450"/>
      <c r="F31" s="450"/>
      <c r="G31" s="450"/>
      <c r="H31" s="450"/>
      <c r="I31" s="79"/>
      <c r="M31" s="39"/>
    </row>
    <row r="32" ht="12.75" outlineLevel="1">
      <c r="M32" s="39"/>
    </row>
    <row r="33" spans="1:3" ht="12.75" outlineLevel="1">
      <c r="A33" s="113" t="s">
        <v>103</v>
      </c>
      <c r="B33" s="39">
        <v>22</v>
      </c>
      <c r="C33" s="79" t="s">
        <v>105</v>
      </c>
    </row>
    <row r="34" spans="1:9" ht="12.75" customHeight="1" outlineLevel="1">
      <c r="A34" s="113" t="s">
        <v>104</v>
      </c>
      <c r="B34">
        <v>35</v>
      </c>
      <c r="C34" t="s">
        <v>105</v>
      </c>
      <c r="I34" s="113" t="s">
        <v>250</v>
      </c>
    </row>
    <row r="35" spans="1:29" ht="13.5" customHeight="1" outlineLevel="1">
      <c r="A35" s="113"/>
      <c r="C35"/>
      <c r="I35" s="427" t="s">
        <v>39</v>
      </c>
      <c r="J35" s="429" t="s">
        <v>40</v>
      </c>
      <c r="K35" s="429"/>
      <c r="L35" s="430"/>
      <c r="M35" s="430"/>
      <c r="N35" s="430"/>
      <c r="O35" s="430"/>
      <c r="P35" s="430"/>
      <c r="Q35" s="430"/>
      <c r="R35" s="430"/>
      <c r="S35" s="430"/>
      <c r="T35" s="430"/>
      <c r="U35" s="430"/>
      <c r="V35" s="430"/>
      <c r="W35" s="430"/>
      <c r="X35" s="430"/>
      <c r="Y35" s="430"/>
      <c r="Z35" s="430"/>
      <c r="AA35" s="430"/>
      <c r="AB35" s="430"/>
      <c r="AC35" s="431"/>
    </row>
    <row r="36" spans="1:29" ht="13.5" outlineLevel="1" thickBot="1">
      <c r="A36" t="s">
        <v>106</v>
      </c>
      <c r="B36" s="2"/>
      <c r="C36" s="130">
        <f>B34/F36</f>
        <v>1.1290322580645162</v>
      </c>
      <c r="D36" s="127" t="s">
        <v>111</v>
      </c>
      <c r="F36" s="129">
        <v>31</v>
      </c>
      <c r="G36" s="113" t="s">
        <v>102</v>
      </c>
      <c r="I36" s="428"/>
      <c r="J36" s="432"/>
      <c r="K36" s="432"/>
      <c r="L36" s="432"/>
      <c r="M36" s="432"/>
      <c r="N36" s="432"/>
      <c r="O36" s="432"/>
      <c r="P36" s="432"/>
      <c r="Q36" s="432"/>
      <c r="R36" s="432"/>
      <c r="S36" s="432"/>
      <c r="T36" s="432"/>
      <c r="U36" s="432"/>
      <c r="V36" s="432"/>
      <c r="W36" s="432"/>
      <c r="X36" s="432"/>
      <c r="Y36" s="432"/>
      <c r="Z36" s="432"/>
      <c r="AA36" s="432"/>
      <c r="AB36" s="433"/>
      <c r="AC36" s="434"/>
    </row>
    <row r="37" spans="1:29" ht="12.75" outlineLevel="1">
      <c r="A37" s="79" t="s">
        <v>110</v>
      </c>
      <c r="B37" s="2"/>
      <c r="C37" s="128">
        <v>2</v>
      </c>
      <c r="D37" s="127" t="s">
        <v>111</v>
      </c>
      <c r="E37" s="113"/>
      <c r="F37" s="129">
        <f>B34/C37</f>
        <v>17.5</v>
      </c>
      <c r="G37" s="113" t="s">
        <v>102</v>
      </c>
      <c r="I37" s="171" t="s">
        <v>46</v>
      </c>
      <c r="J37" s="152" t="s">
        <v>47</v>
      </c>
      <c r="K37" s="179" t="s">
        <v>119</v>
      </c>
      <c r="L37" s="153" t="s">
        <v>48</v>
      </c>
      <c r="M37" s="153" t="s">
        <v>49</v>
      </c>
      <c r="N37" s="153" t="s">
        <v>50</v>
      </c>
      <c r="O37" s="153" t="s">
        <v>129</v>
      </c>
      <c r="P37" s="154" t="s">
        <v>131</v>
      </c>
      <c r="Q37" s="152" t="s">
        <v>47</v>
      </c>
      <c r="R37" s="153" t="s">
        <v>53</v>
      </c>
      <c r="S37" s="153" t="s">
        <v>54</v>
      </c>
      <c r="T37" s="153" t="s">
        <v>126</v>
      </c>
      <c r="U37" s="153" t="s">
        <v>127</v>
      </c>
      <c r="V37" s="153" t="s">
        <v>56</v>
      </c>
      <c r="W37" s="153" t="s">
        <v>57</v>
      </c>
      <c r="X37" s="153" t="s">
        <v>58</v>
      </c>
      <c r="Y37" s="153" t="s">
        <v>59</v>
      </c>
      <c r="Z37" s="153" t="s">
        <v>60</v>
      </c>
      <c r="AA37" s="154" t="s">
        <v>61</v>
      </c>
      <c r="AB37" s="145" t="s">
        <v>62</v>
      </c>
      <c r="AC37" s="50" t="s">
        <v>63</v>
      </c>
    </row>
    <row r="38" spans="1:29" ht="15" outlineLevel="1">
      <c r="A38" s="79" t="s">
        <v>109</v>
      </c>
      <c r="B38" s="124"/>
      <c r="C38" s="128">
        <f>B34/F38</f>
        <v>0.3372727272727272</v>
      </c>
      <c r="D38" s="127" t="s">
        <v>111</v>
      </c>
      <c r="E38" s="113"/>
      <c r="F38" s="126">
        <f>22/0.212</f>
        <v>103.77358490566039</v>
      </c>
      <c r="G38" s="113" t="s">
        <v>102</v>
      </c>
      <c r="I38" s="172"/>
      <c r="J38" s="426" t="s">
        <v>128</v>
      </c>
      <c r="K38" s="424"/>
      <c r="L38" s="424"/>
      <c r="M38" s="424"/>
      <c r="N38" s="424"/>
      <c r="O38" s="424"/>
      <c r="P38" s="425"/>
      <c r="Q38" s="426" t="s">
        <v>5</v>
      </c>
      <c r="R38" s="424"/>
      <c r="S38" s="424"/>
      <c r="T38" s="424"/>
      <c r="U38" s="424"/>
      <c r="V38" s="424"/>
      <c r="W38" s="424"/>
      <c r="X38" s="424"/>
      <c r="Y38" s="424"/>
      <c r="Z38" s="424"/>
      <c r="AA38" s="425"/>
      <c r="AB38" s="146"/>
      <c r="AC38" s="52"/>
    </row>
    <row r="39" spans="1:29" ht="12.75" outlineLevel="1">
      <c r="A39" s="79" t="s">
        <v>113</v>
      </c>
      <c r="C39" s="125">
        <f>B34/F39</f>
        <v>0.324979044961281</v>
      </c>
      <c r="D39" s="127" t="s">
        <v>111</v>
      </c>
      <c r="E39" s="113"/>
      <c r="F39" s="126">
        <f>22/(G22/2/22)</f>
        <v>107.69925182151363</v>
      </c>
      <c r="G39" s="113" t="s">
        <v>102</v>
      </c>
      <c r="I39" s="173">
        <f aca="true" t="shared" si="11" ref="I39:I44">J39*J$22+K39*K$22+L39*L$22+M39*M$22+N39*N$22+O39*O$22+P39*P$22+Q39*Q$22+R39*R$22+S39*S$22+T39*T$22+U39*U$22+V39*V$22+W39*W$22+X39*X$22+Y39*Y$22+Z39*Z$22+AA39*AA$22</f>
        <v>0.12</v>
      </c>
      <c r="J39" s="64"/>
      <c r="K39" s="56"/>
      <c r="L39" s="56"/>
      <c r="M39" s="56"/>
      <c r="N39" s="56"/>
      <c r="O39" s="56"/>
      <c r="P39" s="180"/>
      <c r="Q39" s="64"/>
      <c r="R39" s="56"/>
      <c r="S39" s="56"/>
      <c r="T39" s="56"/>
      <c r="U39" s="254"/>
      <c r="V39" s="255">
        <f>V7*1.5</f>
        <v>0.006</v>
      </c>
      <c r="W39" s="57"/>
      <c r="X39" s="57"/>
      <c r="Y39" s="57"/>
      <c r="Z39" s="57"/>
      <c r="AA39" s="155"/>
      <c r="AB39" s="147">
        <f>0.1</f>
        <v>0.1</v>
      </c>
      <c r="AC39" s="60">
        <v>2</v>
      </c>
    </row>
    <row r="40" spans="9:29" ht="12.75" outlineLevel="1">
      <c r="I40" s="173">
        <f t="shared" si="11"/>
        <v>0.12</v>
      </c>
      <c r="J40" s="64"/>
      <c r="K40" s="56"/>
      <c r="L40" s="56"/>
      <c r="M40" s="56"/>
      <c r="N40" s="56"/>
      <c r="O40" s="56"/>
      <c r="P40" s="180"/>
      <c r="Q40" s="64"/>
      <c r="R40" s="56"/>
      <c r="S40" s="56"/>
      <c r="T40" s="56"/>
      <c r="U40" s="56"/>
      <c r="V40" s="144"/>
      <c r="W40" s="251">
        <f>W8*1.5</f>
        <v>0.006</v>
      </c>
      <c r="X40" s="57"/>
      <c r="Y40" s="57"/>
      <c r="Z40" s="57"/>
      <c r="AA40" s="155"/>
      <c r="AB40" s="147">
        <f>0.1</f>
        <v>0.1</v>
      </c>
      <c r="AC40" s="60">
        <v>2</v>
      </c>
    </row>
    <row r="41" spans="9:29" ht="12.75" outlineLevel="1">
      <c r="I41" s="173">
        <f t="shared" si="11"/>
        <v>0.12</v>
      </c>
      <c r="J41" s="64"/>
      <c r="K41" s="56"/>
      <c r="L41" s="56"/>
      <c r="M41" s="56"/>
      <c r="N41" s="56"/>
      <c r="O41" s="56"/>
      <c r="P41" s="180"/>
      <c r="Q41" s="64"/>
      <c r="R41" s="56"/>
      <c r="S41" s="56"/>
      <c r="T41" s="56"/>
      <c r="U41" s="56"/>
      <c r="V41" s="57"/>
      <c r="W41" s="144"/>
      <c r="X41" s="251">
        <f>X9*1.5</f>
        <v>0.006</v>
      </c>
      <c r="Y41" s="57"/>
      <c r="Z41" s="57"/>
      <c r="AA41" s="155"/>
      <c r="AB41" s="147">
        <f>0.1</f>
        <v>0.1</v>
      </c>
      <c r="AC41" s="60">
        <v>2</v>
      </c>
    </row>
    <row r="42" spans="9:29" ht="12.75" outlineLevel="1">
      <c r="I42" s="173">
        <f t="shared" si="11"/>
        <v>0.12</v>
      </c>
      <c r="J42" s="64"/>
      <c r="K42" s="56"/>
      <c r="L42" s="56"/>
      <c r="M42" s="56"/>
      <c r="N42" s="56"/>
      <c r="O42" s="56"/>
      <c r="P42" s="180"/>
      <c r="Q42" s="64"/>
      <c r="R42" s="56"/>
      <c r="S42" s="56"/>
      <c r="T42" s="56"/>
      <c r="U42" s="56"/>
      <c r="V42" s="57"/>
      <c r="W42" s="57"/>
      <c r="X42" s="144"/>
      <c r="Y42" s="251">
        <f>Y10*1.5</f>
        <v>0.006</v>
      </c>
      <c r="Z42" s="57"/>
      <c r="AA42" s="155"/>
      <c r="AB42" s="147">
        <f>0.1</f>
        <v>0.1</v>
      </c>
      <c r="AC42" s="60">
        <v>2</v>
      </c>
    </row>
    <row r="43" spans="9:29" ht="12.75" outlineLevel="1">
      <c r="I43" s="173">
        <f t="shared" si="11"/>
        <v>0.12</v>
      </c>
      <c r="J43" s="64"/>
      <c r="K43" s="56"/>
      <c r="L43" s="56"/>
      <c r="M43" s="56"/>
      <c r="N43" s="56"/>
      <c r="O43" s="56"/>
      <c r="P43" s="180"/>
      <c r="Q43" s="64"/>
      <c r="R43" s="56"/>
      <c r="S43" s="56"/>
      <c r="T43" s="56"/>
      <c r="U43" s="56"/>
      <c r="V43" s="57"/>
      <c r="W43" s="57"/>
      <c r="X43" s="57"/>
      <c r="Y43" s="144"/>
      <c r="Z43" s="251">
        <f>Z11*1.5</f>
        <v>0.006</v>
      </c>
      <c r="AA43" s="155"/>
      <c r="AB43" s="147">
        <f>28/31</f>
        <v>0.9032258064516129</v>
      </c>
      <c r="AC43" s="60"/>
    </row>
    <row r="44" spans="9:29" ht="12.75" outlineLevel="1">
      <c r="I44" s="173">
        <f t="shared" si="11"/>
        <v>0.12</v>
      </c>
      <c r="J44" s="64"/>
      <c r="K44" s="56"/>
      <c r="L44" s="56"/>
      <c r="M44" s="56"/>
      <c r="N44" s="56"/>
      <c r="O44" s="56"/>
      <c r="P44" s="180"/>
      <c r="Q44" s="64"/>
      <c r="R44" s="56"/>
      <c r="S44" s="56"/>
      <c r="T44" s="56"/>
      <c r="U44" s="56"/>
      <c r="V44" s="57"/>
      <c r="W44" s="57"/>
      <c r="X44" s="57"/>
      <c r="Y44" s="57"/>
      <c r="Z44" s="144"/>
      <c r="AA44" s="256">
        <f>AA12*1.5</f>
        <v>0.006</v>
      </c>
      <c r="AB44" s="147">
        <f>28/31</f>
        <v>0.9032258064516129</v>
      </c>
      <c r="AC44" s="60"/>
    </row>
    <row r="45" spans="9:29" ht="15" outlineLevel="1">
      <c r="I45" s="174"/>
      <c r="J45" s="156"/>
      <c r="K45" s="51"/>
      <c r="L45" s="51"/>
      <c r="M45" s="51"/>
      <c r="N45" s="51"/>
      <c r="O45" s="51"/>
      <c r="P45" s="157"/>
      <c r="Q45" s="156"/>
      <c r="R45" s="51"/>
      <c r="S45" s="51"/>
      <c r="T45" s="51"/>
      <c r="U45" s="51"/>
      <c r="V45" s="51"/>
      <c r="W45" s="51"/>
      <c r="X45" s="51"/>
      <c r="Y45" s="51"/>
      <c r="Z45" s="51"/>
      <c r="AA45" s="157"/>
      <c r="AB45" s="146"/>
      <c r="AC45" s="52"/>
    </row>
    <row r="46" spans="8:29" ht="12.75" outlineLevel="1">
      <c r="H46" s="248" t="s">
        <v>255</v>
      </c>
      <c r="I46" s="173">
        <f aca="true" t="shared" si="12" ref="I46:I52">J46*J$22+K46*K$22+L46*L$22+M46*M$22+N46*N$22+O46*O$22+P46*P$22+Q46*Q$22+R46*R$22+S46*S$22+T46*T$22+U46*U$22+V46*V$22+W46*W$22+X46*X$22+Y46*Y$22+Z46*Z$22+AA46*AA$22</f>
        <v>2.884</v>
      </c>
      <c r="J46" s="275">
        <f aca="true" t="shared" si="13" ref="J46:P46">J14*2</f>
        <v>0.02</v>
      </c>
      <c r="K46" s="277">
        <f t="shared" si="13"/>
        <v>0.5</v>
      </c>
      <c r="L46" s="277">
        <f t="shared" si="13"/>
        <v>0.18</v>
      </c>
      <c r="M46" s="278">
        <f t="shared" si="13"/>
        <v>0.08</v>
      </c>
      <c r="N46" s="275">
        <f t="shared" si="13"/>
        <v>0.1</v>
      </c>
      <c r="O46" s="277">
        <f t="shared" si="13"/>
        <v>0.033</v>
      </c>
      <c r="P46" s="276">
        <f t="shared" si="13"/>
        <v>0.021</v>
      </c>
      <c r="Q46" s="158"/>
      <c r="R46" s="143"/>
      <c r="S46" s="57"/>
      <c r="T46" s="57"/>
      <c r="U46" s="57"/>
      <c r="V46" s="57"/>
      <c r="W46" s="57"/>
      <c r="X46" s="57"/>
      <c r="Y46" s="57"/>
      <c r="Z46" s="57"/>
      <c r="AA46" s="155"/>
      <c r="AB46" s="148"/>
      <c r="AC46" s="58"/>
    </row>
    <row r="47" spans="9:29" ht="12.75" outlineLevel="1">
      <c r="I47" s="173">
        <f t="shared" si="12"/>
        <v>0.54</v>
      </c>
      <c r="J47" s="159"/>
      <c r="K47" s="57"/>
      <c r="L47" s="144"/>
      <c r="M47" s="57"/>
      <c r="N47" s="144"/>
      <c r="O47" s="261"/>
      <c r="P47" s="183"/>
      <c r="Q47" s="250"/>
      <c r="R47" s="251">
        <f>R15*1.5</f>
        <v>0.027000000000000003</v>
      </c>
      <c r="S47" s="251">
        <f>S15*1.5</f>
        <v>0.027000000000000003</v>
      </c>
      <c r="T47" s="57"/>
      <c r="U47" s="57"/>
      <c r="V47" s="57"/>
      <c r="W47" s="57"/>
      <c r="X47" s="57"/>
      <c r="Y47" s="57"/>
      <c r="Z47" s="57"/>
      <c r="AA47" s="155"/>
      <c r="AB47" s="148"/>
      <c r="AC47" s="58"/>
    </row>
    <row r="48" spans="8:29" ht="12.75" outlineLevel="1">
      <c r="H48" s="247" t="s">
        <v>259</v>
      </c>
      <c r="I48" s="173">
        <f t="shared" si="12"/>
        <v>1.5450000000000004</v>
      </c>
      <c r="J48" s="250">
        <f>J16*1.5</f>
        <v>0</v>
      </c>
      <c r="K48" s="251">
        <f>K16*1.5</f>
        <v>0</v>
      </c>
      <c r="L48" s="144"/>
      <c r="M48" s="57"/>
      <c r="N48" s="144"/>
      <c r="O48" s="261"/>
      <c r="P48" s="183"/>
      <c r="Q48" s="250">
        <f>Q16*1.5</f>
        <v>0.024</v>
      </c>
      <c r="R48" s="251">
        <f>R16*1.5</f>
        <v>0.039</v>
      </c>
      <c r="S48" s="251">
        <f>S16*1.5</f>
        <v>0.0225</v>
      </c>
      <c r="T48" s="253">
        <f aca="true" t="shared" si="14" ref="T48:AA48">T16*1.5</f>
        <v>0.0009</v>
      </c>
      <c r="U48" s="251">
        <f t="shared" si="14"/>
        <v>0.0009</v>
      </c>
      <c r="V48" s="253">
        <f t="shared" si="14"/>
        <v>0.003</v>
      </c>
      <c r="W48" s="253">
        <f t="shared" si="14"/>
        <v>0.003</v>
      </c>
      <c r="X48" s="251">
        <f t="shared" si="14"/>
        <v>0.003</v>
      </c>
      <c r="Y48" s="253">
        <f t="shared" si="14"/>
        <v>0.003</v>
      </c>
      <c r="Z48" s="253">
        <f t="shared" si="14"/>
        <v>0.003</v>
      </c>
      <c r="AA48" s="252">
        <f t="shared" si="14"/>
        <v>0.003</v>
      </c>
      <c r="AB48" s="148"/>
      <c r="AC48" s="58"/>
    </row>
    <row r="49" spans="9:29" ht="12.75" outlineLevel="1">
      <c r="I49" s="173">
        <f t="shared" si="12"/>
        <v>0.73125</v>
      </c>
      <c r="J49" s="159"/>
      <c r="K49" s="57"/>
      <c r="L49" s="144"/>
      <c r="M49" s="253">
        <f>M17*1.5</f>
        <v>0.00375</v>
      </c>
      <c r="N49" s="253">
        <f>N17*1.5</f>
        <v>0.0075</v>
      </c>
      <c r="O49" s="253">
        <f>O17*1.5</f>
        <v>0.037500000000000006</v>
      </c>
      <c r="P49" s="252">
        <f>P17*1.5</f>
        <v>0.03</v>
      </c>
      <c r="Q49" s="158"/>
      <c r="R49" s="143"/>
      <c r="S49" s="57"/>
      <c r="T49" s="57"/>
      <c r="U49" s="57"/>
      <c r="V49" s="57"/>
      <c r="W49" s="57"/>
      <c r="X49" s="57"/>
      <c r="Y49" s="57"/>
      <c r="Z49" s="57"/>
      <c r="AA49" s="155"/>
      <c r="AB49" s="148"/>
      <c r="AC49" s="58"/>
    </row>
    <row r="50" spans="9:29" ht="12.75" outlineLevel="1">
      <c r="I50" s="173">
        <f t="shared" si="12"/>
        <v>0.31679999999999997</v>
      </c>
      <c r="J50" s="159"/>
      <c r="K50" s="57"/>
      <c r="L50" s="143">
        <f>DCB_2008_02_12!G10/1000</f>
        <v>0.096</v>
      </c>
      <c r="M50" s="57"/>
      <c r="N50" s="144"/>
      <c r="O50" s="144"/>
      <c r="P50" s="155"/>
      <c r="Q50" s="159"/>
      <c r="R50" s="57"/>
      <c r="S50" s="57"/>
      <c r="T50" s="57"/>
      <c r="U50" s="57"/>
      <c r="V50" s="57"/>
      <c r="W50" s="57"/>
      <c r="X50" s="57"/>
      <c r="Y50" s="57"/>
      <c r="Z50" s="57"/>
      <c r="AA50" s="155"/>
      <c r="AB50" s="148"/>
      <c r="AC50" s="58"/>
    </row>
    <row r="51" spans="8:29" ht="12.75" outlineLevel="1">
      <c r="H51" s="248" t="s">
        <v>254</v>
      </c>
      <c r="I51" s="173">
        <f t="shared" si="12"/>
        <v>1.9789493759999999</v>
      </c>
      <c r="J51" s="246">
        <f>J19*1.5</f>
        <v>0.03</v>
      </c>
      <c r="K51" s="143">
        <f>DCB_2008_02_12!G24/1000</f>
        <v>0.21466666666666664</v>
      </c>
      <c r="L51" s="143">
        <f>DCB_2008_02_12!G23/1000-L50</f>
        <v>0.4439240533333334</v>
      </c>
      <c r="M51" s="143">
        <f>DCB_2008_02_12!J14/10/1000</f>
        <v>0.0012</v>
      </c>
      <c r="N51" s="237">
        <f>M51</f>
        <v>0.0012</v>
      </c>
      <c r="O51" s="281">
        <f>O19*1.5</f>
        <v>0.0015</v>
      </c>
      <c r="P51" s="256">
        <f>P19*1.5</f>
        <v>0.0015</v>
      </c>
      <c r="Q51" s="159"/>
      <c r="R51" s="57"/>
      <c r="S51" s="57"/>
      <c r="T51" s="57"/>
      <c r="U51" s="57"/>
      <c r="V51" s="57"/>
      <c r="W51" s="57"/>
      <c r="X51" s="57"/>
      <c r="Y51" s="57"/>
      <c r="Z51" s="57"/>
      <c r="AA51" s="155"/>
      <c r="AB51" s="148"/>
      <c r="AC51" s="58"/>
    </row>
    <row r="52" spans="9:29" ht="12.75" outlineLevel="1">
      <c r="I52" s="173">
        <f t="shared" si="12"/>
        <v>4.9834258724800025</v>
      </c>
      <c r="J52" s="271">
        <f aca="true" t="shared" si="15" ref="J52:AA52">SUM(J38:J51)*$L$25</f>
        <v>0.027500000000000004</v>
      </c>
      <c r="K52" s="249">
        <f>SUM(K38:K51)*$L$25*(1+O$26)</f>
        <v>0.4323733333333334</v>
      </c>
      <c r="L52" s="140">
        <f>SUM(L38:L51)*$L$25*(1+O$26)</f>
        <v>0.43555405226666677</v>
      </c>
      <c r="M52" s="207">
        <f t="shared" si="15"/>
        <v>0.04672250000000001</v>
      </c>
      <c r="N52" s="207">
        <f t="shared" si="15"/>
        <v>0.05978500000000001</v>
      </c>
      <c r="O52" s="207">
        <f t="shared" si="15"/>
        <v>0.03960000000000001</v>
      </c>
      <c r="P52" s="274">
        <f t="shared" si="15"/>
        <v>0.028875000000000005</v>
      </c>
      <c r="Q52" s="271">
        <f t="shared" si="15"/>
        <v>0.013200000000000002</v>
      </c>
      <c r="R52" s="207">
        <f t="shared" si="15"/>
        <v>0.036300000000000006</v>
      </c>
      <c r="S52" s="207">
        <f t="shared" si="15"/>
        <v>0.027225000000000003</v>
      </c>
      <c r="T52" s="207">
        <f t="shared" si="15"/>
        <v>0.000495</v>
      </c>
      <c r="U52" s="207">
        <f t="shared" si="15"/>
        <v>0.000495</v>
      </c>
      <c r="V52" s="207">
        <f t="shared" si="15"/>
        <v>0.004950000000000001</v>
      </c>
      <c r="W52" s="207">
        <f t="shared" si="15"/>
        <v>0.004950000000000001</v>
      </c>
      <c r="X52" s="207">
        <f t="shared" si="15"/>
        <v>0.004950000000000001</v>
      </c>
      <c r="Y52" s="207">
        <f t="shared" si="15"/>
        <v>0.004950000000000001</v>
      </c>
      <c r="Z52" s="207">
        <f t="shared" si="15"/>
        <v>0.004950000000000001</v>
      </c>
      <c r="AA52" s="274">
        <f t="shared" si="15"/>
        <v>0.004950000000000001</v>
      </c>
      <c r="AB52" s="149"/>
      <c r="AC52" s="87"/>
    </row>
    <row r="53" spans="9:29" ht="12.75" outlineLevel="1">
      <c r="I53" s="175"/>
      <c r="J53" s="162"/>
      <c r="K53" s="89"/>
      <c r="L53" s="89"/>
      <c r="M53" s="89"/>
      <c r="N53" s="89"/>
      <c r="O53" s="89"/>
      <c r="P53" s="163"/>
      <c r="Q53" s="162"/>
      <c r="R53" s="89"/>
      <c r="S53" s="89"/>
      <c r="T53" s="89"/>
      <c r="U53" s="89"/>
      <c r="V53" s="89"/>
      <c r="W53" s="89"/>
      <c r="X53" s="89"/>
      <c r="Y53" s="89"/>
      <c r="Z53" s="89"/>
      <c r="AA53" s="163"/>
      <c r="AB53" s="90"/>
      <c r="AC53" s="90"/>
    </row>
    <row r="54" spans="9:29" ht="15">
      <c r="I54" s="176">
        <f>SUM(I38:I44)+SUM(I46:I52)</f>
        <v>13.699425248480003</v>
      </c>
      <c r="J54" s="164">
        <v>5</v>
      </c>
      <c r="K54" s="97">
        <v>1.5</v>
      </c>
      <c r="L54" s="97">
        <v>3.3</v>
      </c>
      <c r="M54" s="97">
        <v>5</v>
      </c>
      <c r="N54" s="97">
        <v>5</v>
      </c>
      <c r="O54" s="97">
        <v>10</v>
      </c>
      <c r="P54" s="165">
        <v>10</v>
      </c>
      <c r="Q54" s="164">
        <v>5</v>
      </c>
      <c r="R54" s="97">
        <v>10</v>
      </c>
      <c r="S54" s="97">
        <v>10</v>
      </c>
      <c r="T54" s="97">
        <v>250</v>
      </c>
      <c r="U54" s="97">
        <v>250</v>
      </c>
      <c r="V54" s="97">
        <v>20</v>
      </c>
      <c r="W54" s="97">
        <v>20</v>
      </c>
      <c r="X54" s="97">
        <v>20</v>
      </c>
      <c r="Y54" s="97">
        <v>20</v>
      </c>
      <c r="Z54" s="97">
        <v>20</v>
      </c>
      <c r="AA54" s="165">
        <v>20</v>
      </c>
      <c r="AB54" s="150" t="s">
        <v>80</v>
      </c>
      <c r="AC54" s="99"/>
    </row>
    <row r="55" spans="9:29" ht="15">
      <c r="I55" s="177" t="s">
        <v>252</v>
      </c>
      <c r="J55" s="166">
        <f>SUM(J38:J44)+SUM(J46:J51)</f>
        <v>0.05</v>
      </c>
      <c r="K55" s="104">
        <f aca="true" t="shared" si="16" ref="K55:AA55">SUM(K38:K44)+SUM(K46:K51)</f>
        <v>0.7146666666666667</v>
      </c>
      <c r="L55" s="104">
        <f t="shared" si="16"/>
        <v>0.7199240533333334</v>
      </c>
      <c r="M55" s="104">
        <f t="shared" si="16"/>
        <v>0.08495000000000001</v>
      </c>
      <c r="N55" s="104">
        <f t="shared" si="16"/>
        <v>0.10870000000000002</v>
      </c>
      <c r="O55" s="104">
        <f t="shared" si="16"/>
        <v>0.07200000000000001</v>
      </c>
      <c r="P55" s="167">
        <f t="shared" si="16"/>
        <v>0.052500000000000005</v>
      </c>
      <c r="Q55" s="166">
        <f t="shared" si="16"/>
        <v>0.024</v>
      </c>
      <c r="R55" s="104">
        <f t="shared" si="16"/>
        <v>0.066</v>
      </c>
      <c r="S55" s="104">
        <f t="shared" si="16"/>
        <v>0.0495</v>
      </c>
      <c r="T55" s="104">
        <f t="shared" si="16"/>
        <v>0.0009</v>
      </c>
      <c r="U55" s="104">
        <f t="shared" si="16"/>
        <v>0.0009</v>
      </c>
      <c r="V55" s="104">
        <f t="shared" si="16"/>
        <v>0.009000000000000001</v>
      </c>
      <c r="W55" s="104">
        <f t="shared" si="16"/>
        <v>0.009000000000000001</v>
      </c>
      <c r="X55" s="104">
        <f t="shared" si="16"/>
        <v>0.009000000000000001</v>
      </c>
      <c r="Y55" s="104">
        <f t="shared" si="16"/>
        <v>0.009000000000000001</v>
      </c>
      <c r="Z55" s="104">
        <f t="shared" si="16"/>
        <v>0.009000000000000001</v>
      </c>
      <c r="AA55" s="167">
        <f t="shared" si="16"/>
        <v>0.009000000000000001</v>
      </c>
      <c r="AB55" s="150" t="s">
        <v>81</v>
      </c>
      <c r="AC55" s="99"/>
    </row>
    <row r="56" spans="9:29" ht="15.75" thickBot="1">
      <c r="I56" s="178"/>
      <c r="J56" s="168">
        <f aca="true" t="shared" si="17" ref="J56:AA56">J54*J55</f>
        <v>0.25</v>
      </c>
      <c r="K56" s="181">
        <f t="shared" si="17"/>
        <v>1.072</v>
      </c>
      <c r="L56" s="169">
        <f t="shared" si="17"/>
        <v>2.3757493760000004</v>
      </c>
      <c r="M56" s="169">
        <f t="shared" si="17"/>
        <v>0.42475000000000007</v>
      </c>
      <c r="N56" s="169">
        <f t="shared" si="17"/>
        <v>0.5435000000000001</v>
      </c>
      <c r="O56" s="169">
        <f t="shared" si="17"/>
        <v>0.7200000000000001</v>
      </c>
      <c r="P56" s="170">
        <f t="shared" si="17"/>
        <v>0.525</v>
      </c>
      <c r="Q56" s="168">
        <f t="shared" si="17"/>
        <v>0.12</v>
      </c>
      <c r="R56" s="169">
        <f t="shared" si="17"/>
        <v>0.66</v>
      </c>
      <c r="S56" s="169">
        <f t="shared" si="17"/>
        <v>0.495</v>
      </c>
      <c r="T56" s="169">
        <f t="shared" si="17"/>
        <v>0.225</v>
      </c>
      <c r="U56" s="169">
        <f t="shared" si="17"/>
        <v>0.225</v>
      </c>
      <c r="V56" s="169">
        <f t="shared" si="17"/>
        <v>0.18000000000000002</v>
      </c>
      <c r="W56" s="169">
        <f t="shared" si="17"/>
        <v>0.18000000000000002</v>
      </c>
      <c r="X56" s="169">
        <f t="shared" si="17"/>
        <v>0.18000000000000002</v>
      </c>
      <c r="Y56" s="169">
        <f t="shared" si="17"/>
        <v>0.18000000000000002</v>
      </c>
      <c r="Z56" s="169">
        <f t="shared" si="17"/>
        <v>0.18000000000000002</v>
      </c>
      <c r="AA56" s="170">
        <f t="shared" si="17"/>
        <v>0.18000000000000002</v>
      </c>
      <c r="AB56" s="151" t="s">
        <v>4</v>
      </c>
      <c r="AC56" s="110"/>
    </row>
    <row r="58" ht="12.75">
      <c r="L58" s="139"/>
    </row>
    <row r="60" spans="10:14" ht="12.75">
      <c r="J60" t="s">
        <v>264</v>
      </c>
      <c r="M60" s="139">
        <f>SUM(J46:J51)+SUM(K46:K51)*(K54/J54)*(1/(1-O$26))+SUM(L46:L51)*(L54/J54)*(1/(1-O$26))</f>
        <v>0.8161665280000001</v>
      </c>
      <c r="N60" t="s">
        <v>121</v>
      </c>
    </row>
  </sheetData>
  <mergeCells count="16">
    <mergeCell ref="J6:P6"/>
    <mergeCell ref="Q6:AA6"/>
    <mergeCell ref="D31:H31"/>
    <mergeCell ref="D27:H27"/>
    <mergeCell ref="D28:H28"/>
    <mergeCell ref="D29:H29"/>
    <mergeCell ref="D30:H30"/>
    <mergeCell ref="A3:A5"/>
    <mergeCell ref="E3:G4"/>
    <mergeCell ref="B3:D4"/>
    <mergeCell ref="J3:AC4"/>
    <mergeCell ref="I3:I4"/>
    <mergeCell ref="I35:I36"/>
    <mergeCell ref="J35:AC36"/>
    <mergeCell ref="J38:P38"/>
    <mergeCell ref="Q38:AA38"/>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AC42"/>
  <sheetViews>
    <sheetView zoomScaleSheetLayoutView="100" workbookViewId="0" topLeftCell="A1">
      <selection activeCell="B28" sqref="B28"/>
    </sheetView>
  </sheetViews>
  <sheetFormatPr defaultColWidth="9.140625" defaultRowHeight="12.75"/>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row>
    <row r="2" spans="1:9" ht="4.5" customHeight="1" thickBot="1">
      <c r="A2" s="36"/>
      <c r="I2" s="40"/>
    </row>
    <row r="3" spans="1:29" ht="18"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154" t="s">
        <v>130</v>
      </c>
      <c r="Q5" s="152" t="s">
        <v>53</v>
      </c>
      <c r="R5" s="153" t="s">
        <v>54</v>
      </c>
      <c r="S5" s="153" t="s">
        <v>55</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172"/>
      <c r="J6" s="426" t="s">
        <v>128</v>
      </c>
      <c r="K6" s="424"/>
      <c r="L6" s="424"/>
      <c r="M6" s="424"/>
      <c r="N6" s="424"/>
      <c r="O6" s="424"/>
      <c r="P6" s="425"/>
      <c r="Q6" s="426" t="s">
        <v>5</v>
      </c>
      <c r="R6" s="424"/>
      <c r="S6" s="424"/>
      <c r="T6" s="424"/>
      <c r="U6" s="424"/>
      <c r="V6" s="424"/>
      <c r="W6" s="424"/>
      <c r="X6" s="424"/>
      <c r="Y6" s="424"/>
      <c r="Z6" s="424"/>
      <c r="AA6" s="425"/>
      <c r="AB6" s="146"/>
      <c r="AC6" s="52"/>
    </row>
    <row r="7" spans="1:29" ht="12.75">
      <c r="A7" s="64" t="s">
        <v>67</v>
      </c>
      <c r="B7" s="65" t="s">
        <v>13</v>
      </c>
      <c r="C7" s="66" t="s">
        <v>64</v>
      </c>
      <c r="D7" s="59">
        <f t="shared" si="0"/>
        <v>0.15</v>
      </c>
      <c r="E7" s="67">
        <f aca="true" t="shared" si="2" ref="E7:E12">I7</f>
        <v>0.08</v>
      </c>
      <c r="F7" s="68">
        <f t="shared" si="1"/>
        <v>0.25000000000000006</v>
      </c>
      <c r="G7" s="69">
        <v>0.1</v>
      </c>
      <c r="H7" s="70"/>
      <c r="I7" s="173">
        <f aca="true" t="shared" si="3" ref="I7:I12">J7*J$22+K7*K$22+L7*L$22+M7*M$22+N7*N$22+O7*O$22+P7*P$22+Q7*Q$22+R7*R$22+S7*S$22+T7*T$22+U7*U$22+V7*V$22+W7*W$22+X7*X$22+Y7*Y$22+Z7*Z$22+AA7*AA$22</f>
        <v>0.08</v>
      </c>
      <c r="J7" s="64"/>
      <c r="K7" s="56"/>
      <c r="L7" s="56"/>
      <c r="M7" s="56"/>
      <c r="N7" s="56"/>
      <c r="O7" s="56"/>
      <c r="P7" s="180"/>
      <c r="Q7" s="64"/>
      <c r="R7" s="56"/>
      <c r="S7" s="56"/>
      <c r="T7" s="56"/>
      <c r="U7" s="56"/>
      <c r="V7" s="57">
        <v>0.004</v>
      </c>
      <c r="W7" s="57"/>
      <c r="X7" s="57"/>
      <c r="Y7" s="57"/>
      <c r="Z7" s="57"/>
      <c r="AA7" s="155"/>
      <c r="AB7" s="147">
        <f>0.1</f>
        <v>0.1</v>
      </c>
      <c r="AC7" s="60">
        <v>2</v>
      </c>
    </row>
    <row r="8" spans="1:29" ht="12.75">
      <c r="A8" s="64" t="s">
        <v>68</v>
      </c>
      <c r="B8" s="65" t="s">
        <v>13</v>
      </c>
      <c r="C8" s="66" t="s">
        <v>64</v>
      </c>
      <c r="D8" s="59">
        <f t="shared" si="0"/>
        <v>0.15</v>
      </c>
      <c r="E8" s="67">
        <f t="shared" si="2"/>
        <v>0.08</v>
      </c>
      <c r="F8" s="68">
        <f t="shared" si="1"/>
        <v>0.25000000000000006</v>
      </c>
      <c r="G8" s="69">
        <v>0.1</v>
      </c>
      <c r="H8" s="70"/>
      <c r="I8" s="173">
        <f t="shared" si="3"/>
        <v>0.08</v>
      </c>
      <c r="J8" s="64"/>
      <c r="K8" s="56"/>
      <c r="L8" s="56"/>
      <c r="M8" s="56"/>
      <c r="N8" s="56"/>
      <c r="O8" s="56"/>
      <c r="P8" s="180"/>
      <c r="Q8" s="64"/>
      <c r="R8" s="56"/>
      <c r="S8" s="56"/>
      <c r="T8" s="56"/>
      <c r="U8" s="56"/>
      <c r="V8" s="57"/>
      <c r="W8" s="57">
        <v>0.004</v>
      </c>
      <c r="X8" s="57"/>
      <c r="Y8" s="57"/>
      <c r="Z8" s="57"/>
      <c r="AA8" s="155"/>
      <c r="AB8" s="147">
        <f>0.1</f>
        <v>0.1</v>
      </c>
      <c r="AC8" s="60">
        <v>2</v>
      </c>
    </row>
    <row r="9" spans="1:29" ht="12.75">
      <c r="A9" s="64" t="s">
        <v>69</v>
      </c>
      <c r="B9" s="65" t="s">
        <v>13</v>
      </c>
      <c r="C9" s="66" t="s">
        <v>64</v>
      </c>
      <c r="D9" s="59">
        <f t="shared" si="0"/>
        <v>0.15</v>
      </c>
      <c r="E9" s="67">
        <f t="shared" si="2"/>
        <v>0.08</v>
      </c>
      <c r="F9" s="68">
        <f t="shared" si="1"/>
        <v>0.25000000000000006</v>
      </c>
      <c r="G9" s="69">
        <v>0.1</v>
      </c>
      <c r="H9" s="70"/>
      <c r="I9" s="173">
        <f t="shared" si="3"/>
        <v>0.08</v>
      </c>
      <c r="J9" s="64"/>
      <c r="K9" s="56"/>
      <c r="L9" s="56"/>
      <c r="M9" s="56"/>
      <c r="N9" s="56"/>
      <c r="O9" s="56"/>
      <c r="P9" s="180"/>
      <c r="Q9" s="64"/>
      <c r="R9" s="56"/>
      <c r="S9" s="56"/>
      <c r="T9" s="56"/>
      <c r="U9" s="56"/>
      <c r="V9" s="57"/>
      <c r="W9" s="57"/>
      <c r="X9" s="57">
        <v>0.004</v>
      </c>
      <c r="Y9" s="57"/>
      <c r="Z9" s="57"/>
      <c r="AA9" s="155"/>
      <c r="AB9" s="147">
        <f>0.1</f>
        <v>0.1</v>
      </c>
      <c r="AC9" s="60">
        <v>2</v>
      </c>
    </row>
    <row r="10" spans="1:29" ht="12.75">
      <c r="A10" s="64" t="s">
        <v>70</v>
      </c>
      <c r="B10" s="65" t="s">
        <v>13</v>
      </c>
      <c r="C10" s="66" t="s">
        <v>64</v>
      </c>
      <c r="D10" s="59">
        <f t="shared" si="0"/>
        <v>0.15</v>
      </c>
      <c r="E10" s="67">
        <f t="shared" si="2"/>
        <v>0.08</v>
      </c>
      <c r="F10" s="68">
        <f t="shared" si="1"/>
        <v>0.25000000000000006</v>
      </c>
      <c r="G10" s="69">
        <v>0.1</v>
      </c>
      <c r="H10" s="70"/>
      <c r="I10" s="173">
        <f t="shared" si="3"/>
        <v>0.08</v>
      </c>
      <c r="J10" s="64"/>
      <c r="K10" s="56"/>
      <c r="L10" s="56"/>
      <c r="M10" s="56"/>
      <c r="N10" s="56"/>
      <c r="O10" s="56"/>
      <c r="P10" s="180"/>
      <c r="Q10" s="64"/>
      <c r="R10" s="56"/>
      <c r="S10" s="56"/>
      <c r="T10" s="56"/>
      <c r="U10" s="56"/>
      <c r="V10" s="57"/>
      <c r="W10" s="57"/>
      <c r="X10" s="57"/>
      <c r="Y10" s="57">
        <v>0.004</v>
      </c>
      <c r="Z10" s="57"/>
      <c r="AA10" s="155"/>
      <c r="AB10" s="147">
        <f>0.1</f>
        <v>0.1</v>
      </c>
      <c r="AC10" s="60">
        <v>2</v>
      </c>
    </row>
    <row r="11" spans="1:29" ht="12.75">
      <c r="A11" s="64" t="s">
        <v>71</v>
      </c>
      <c r="B11" s="65" t="s">
        <v>13</v>
      </c>
      <c r="C11" s="66" t="s">
        <v>64</v>
      </c>
      <c r="D11" s="59">
        <f t="shared" si="0"/>
        <v>0.15</v>
      </c>
      <c r="E11" s="67">
        <f t="shared" si="2"/>
        <v>0.08</v>
      </c>
      <c r="F11" s="68">
        <f t="shared" si="1"/>
        <v>0.25000000000000006</v>
      </c>
      <c r="G11" s="69">
        <v>0.1</v>
      </c>
      <c r="H11" s="70"/>
      <c r="I11" s="173">
        <f t="shared" si="3"/>
        <v>0.08</v>
      </c>
      <c r="J11" s="64"/>
      <c r="K11" s="56"/>
      <c r="L11" s="56"/>
      <c r="M11" s="56"/>
      <c r="N11" s="56"/>
      <c r="O11" s="56"/>
      <c r="P11" s="180"/>
      <c r="Q11" s="64"/>
      <c r="R11" s="56"/>
      <c r="S11" s="56"/>
      <c r="T11" s="56"/>
      <c r="U11" s="56"/>
      <c r="V11" s="57"/>
      <c r="W11" s="57"/>
      <c r="X11" s="57"/>
      <c r="Y11" s="57"/>
      <c r="Z11" s="57">
        <v>0.004</v>
      </c>
      <c r="AA11" s="155"/>
      <c r="AB11" s="147">
        <f>28/31</f>
        <v>0.9032258064516129</v>
      </c>
      <c r="AC11" s="60"/>
    </row>
    <row r="12" spans="1:29" ht="12.75">
      <c r="A12" s="64" t="s">
        <v>72</v>
      </c>
      <c r="B12" s="65" t="s">
        <v>13</v>
      </c>
      <c r="C12" s="66" t="s">
        <v>64</v>
      </c>
      <c r="D12" s="59">
        <f t="shared" si="0"/>
        <v>0.15</v>
      </c>
      <c r="E12" s="67">
        <f t="shared" si="2"/>
        <v>0.08</v>
      </c>
      <c r="F12" s="68">
        <f t="shared" si="1"/>
        <v>0.25000000000000006</v>
      </c>
      <c r="G12" s="69">
        <v>0.1</v>
      </c>
      <c r="H12" s="70"/>
      <c r="I12" s="173">
        <f t="shared" si="3"/>
        <v>0.08</v>
      </c>
      <c r="J12" s="64"/>
      <c r="K12" s="56"/>
      <c r="L12" s="56"/>
      <c r="M12" s="56"/>
      <c r="N12" s="56"/>
      <c r="O12" s="56"/>
      <c r="P12" s="180"/>
      <c r="Q12" s="64"/>
      <c r="R12" s="56"/>
      <c r="S12" s="56"/>
      <c r="T12" s="56"/>
      <c r="U12" s="56"/>
      <c r="V12" s="57"/>
      <c r="W12" s="57"/>
      <c r="X12" s="57"/>
      <c r="Y12" s="57"/>
      <c r="Z12" s="57"/>
      <c r="AA12" s="155">
        <v>0.004</v>
      </c>
      <c r="AB12" s="147">
        <f>28/31</f>
        <v>0.9032258064516129</v>
      </c>
      <c r="AC12" s="60"/>
    </row>
    <row r="13" spans="1:29" s="53" customFormat="1" ht="15.75">
      <c r="A13" s="72" t="s">
        <v>73</v>
      </c>
      <c r="B13" s="73"/>
      <c r="C13" s="73"/>
      <c r="D13" s="74" t="str">
        <f t="shared" si="0"/>
        <v> </v>
      </c>
      <c r="E13" s="119">
        <f>SUM(E14:E20)</f>
        <v>7.368994999999998</v>
      </c>
      <c r="F13" s="120">
        <f t="shared" si="1"/>
        <v>0.17565750146390396</v>
      </c>
      <c r="G13" s="121">
        <f>SUM(G14:G20)</f>
        <v>8.663414249999999</v>
      </c>
      <c r="H13" s="61"/>
      <c r="I13" s="174"/>
      <c r="J13" s="156"/>
      <c r="K13" s="51"/>
      <c r="L13" s="51"/>
      <c r="M13" s="51"/>
      <c r="N13" s="51"/>
      <c r="O13" s="51"/>
      <c r="P13" s="157"/>
      <c r="Q13" s="156"/>
      <c r="R13" s="51"/>
      <c r="S13" s="51"/>
      <c r="T13" s="51"/>
      <c r="U13" s="51"/>
      <c r="V13" s="51"/>
      <c r="W13" s="51"/>
      <c r="X13" s="51"/>
      <c r="Y13" s="51"/>
      <c r="Z13" s="51"/>
      <c r="AA13" s="157"/>
      <c r="AB13" s="146"/>
      <c r="AC13" s="52"/>
    </row>
    <row r="14" spans="1:29" ht="12.75">
      <c r="A14" s="64" t="s">
        <v>74</v>
      </c>
      <c r="B14" s="76" t="s">
        <v>13</v>
      </c>
      <c r="C14" s="30" t="s">
        <v>64</v>
      </c>
      <c r="D14" s="77">
        <f t="shared" si="0"/>
        <v>0.15</v>
      </c>
      <c r="E14" s="70">
        <f aca="true" t="shared" si="4" ref="E14:E20">I14</f>
        <v>1.517</v>
      </c>
      <c r="F14" s="68">
        <f aca="true" t="shared" si="5" ref="F14:F20">D14</f>
        <v>0.15</v>
      </c>
      <c r="G14" s="118">
        <f aca="true" t="shared" si="6" ref="G14:G20">E14*(1+F14)</f>
        <v>1.7445499999999998</v>
      </c>
      <c r="H14" s="70"/>
      <c r="I14" s="173">
        <f>J14*J$22+K14*K$22+L14*L$22+M14*M$22+N14*N$22+O14*O$22+P14*P$22+Q14*Q$22+R14*R$22+S14*S$22+T14*T$22+U14*U$22+V14*V$22+W14*W$22+X14*X$22+Y14*Y$22+Z14*Z$22+AA14*AA$22</f>
        <v>1.517</v>
      </c>
      <c r="J14" s="159">
        <f>DFB_2007_05_22!R21/1000</f>
        <v>0.01</v>
      </c>
      <c r="K14" s="57">
        <f>DFB_2007_05_22!Y21/1000</f>
        <v>0.25</v>
      </c>
      <c r="L14" s="57">
        <f>DFB_2007_05_22!V21/1000</f>
        <v>0.09</v>
      </c>
      <c r="M14" s="57">
        <f>DFB_2007_05_22!L21/1000</f>
        <v>0.04</v>
      </c>
      <c r="N14" s="144">
        <f>DFB_2007_05_22!O21/1000</f>
        <v>0.05</v>
      </c>
      <c r="O14" s="207">
        <f>DFB_2007_05_22!F21/1000</f>
        <v>0.0165</v>
      </c>
      <c r="P14" s="155">
        <f>DFB_2007_05_22!I21/1000</f>
        <v>0.0105</v>
      </c>
      <c r="Q14" s="158"/>
      <c r="R14" s="143"/>
      <c r="S14" s="57"/>
      <c r="T14" s="57"/>
      <c r="U14" s="57"/>
      <c r="V14" s="57"/>
      <c r="W14" s="57"/>
      <c r="X14" s="57"/>
      <c r="Y14" s="57"/>
      <c r="Z14" s="57"/>
      <c r="AA14" s="155"/>
      <c r="AB14" s="148"/>
      <c r="AC14" s="58"/>
    </row>
    <row r="15" spans="1:29" ht="12.75">
      <c r="A15" s="64" t="s">
        <v>117</v>
      </c>
      <c r="B15" s="54"/>
      <c r="C15" s="30" t="s">
        <v>65</v>
      </c>
      <c r="D15" s="59">
        <f t="shared" si="0"/>
        <v>0.25</v>
      </c>
      <c r="E15" s="67">
        <f t="shared" si="4"/>
        <v>0.36000000000000004</v>
      </c>
      <c r="F15" s="68">
        <f t="shared" si="5"/>
        <v>0.25</v>
      </c>
      <c r="G15" s="118">
        <f t="shared" si="6"/>
        <v>0.45000000000000007</v>
      </c>
      <c r="H15" s="70"/>
      <c r="I15" s="173">
        <f aca="true" t="shared" si="7" ref="I15:I20">J15*J$22+K15*K$22+L15*L$22+M15*M$22+N15*N$22+O15*O$22+P15*P$22+Q15*Q$22+R15*R$22+S15*S$22+T15*T$22+U15*U$22+V15*V$22+W15*W$22+X15*X$22+Y15*Y$22+Z15*Z$22+AA15*AA$22</f>
        <v>0.36000000000000004</v>
      </c>
      <c r="J15" s="159"/>
      <c r="K15" s="57"/>
      <c r="L15" s="57"/>
      <c r="M15" s="57"/>
      <c r="N15" s="57"/>
      <c r="O15" s="182"/>
      <c r="P15" s="183"/>
      <c r="Q15" s="159">
        <f>0.006*3</f>
        <v>0.018000000000000002</v>
      </c>
      <c r="R15" s="57">
        <f>Q15</f>
        <v>0.018000000000000002</v>
      </c>
      <c r="S15" s="57"/>
      <c r="T15" s="57"/>
      <c r="U15" s="57"/>
      <c r="V15" s="57"/>
      <c r="W15" s="57"/>
      <c r="X15" s="57"/>
      <c r="Y15" s="57"/>
      <c r="Z15" s="57"/>
      <c r="AA15" s="155"/>
      <c r="AB15" s="148"/>
      <c r="AC15" s="58"/>
    </row>
    <row r="16" spans="1:29" ht="12.75">
      <c r="A16" s="64" t="s">
        <v>75</v>
      </c>
      <c r="B16" s="65" t="s">
        <v>13</v>
      </c>
      <c r="C16" s="30" t="s">
        <v>64</v>
      </c>
      <c r="D16" s="59">
        <f t="shared" si="0"/>
        <v>0.15</v>
      </c>
      <c r="E16" s="67">
        <f t="shared" si="4"/>
        <v>1.0379000000000003</v>
      </c>
      <c r="F16" s="68">
        <f t="shared" si="5"/>
        <v>0.15</v>
      </c>
      <c r="G16" s="118">
        <f t="shared" si="6"/>
        <v>1.1935850000000001</v>
      </c>
      <c r="H16" s="70"/>
      <c r="I16" s="173">
        <f t="shared" si="7"/>
        <v>1.0379000000000003</v>
      </c>
      <c r="J16" s="159">
        <v>0.0057</v>
      </c>
      <c r="K16" s="57">
        <v>0.033</v>
      </c>
      <c r="L16" s="57"/>
      <c r="M16" s="57"/>
      <c r="N16" s="57"/>
      <c r="O16" s="182"/>
      <c r="P16" s="183"/>
      <c r="Q16" s="159">
        <v>0.026</v>
      </c>
      <c r="R16" s="57">
        <v>0.015</v>
      </c>
      <c r="S16" s="57"/>
      <c r="T16" s="57">
        <f>0.001*0.6</f>
        <v>0.0006</v>
      </c>
      <c r="U16" s="57">
        <f>0.001*0.6</f>
        <v>0.0006</v>
      </c>
      <c r="V16" s="57">
        <v>0.002</v>
      </c>
      <c r="W16" s="57">
        <v>0.002</v>
      </c>
      <c r="X16" s="57">
        <v>0.002</v>
      </c>
      <c r="Y16" s="57">
        <v>0.002</v>
      </c>
      <c r="Z16" s="57">
        <v>0.002</v>
      </c>
      <c r="AA16" s="155">
        <v>0.002</v>
      </c>
      <c r="AB16" s="148"/>
      <c r="AC16" s="58"/>
    </row>
    <row r="17" spans="1:29" ht="12.75">
      <c r="A17" s="64" t="s">
        <v>76</v>
      </c>
      <c r="B17" s="65" t="s">
        <v>13</v>
      </c>
      <c r="C17" s="30" t="s">
        <v>64</v>
      </c>
      <c r="D17" s="59">
        <f t="shared" si="0"/>
        <v>0.15</v>
      </c>
      <c r="E17" s="67">
        <f t="shared" si="4"/>
        <v>0.4875</v>
      </c>
      <c r="F17" s="68">
        <f t="shared" si="5"/>
        <v>0.15</v>
      </c>
      <c r="G17" s="118">
        <f t="shared" si="6"/>
        <v>0.5606249999999999</v>
      </c>
      <c r="H17" s="70"/>
      <c r="I17" s="173">
        <f t="shared" si="7"/>
        <v>0.4875</v>
      </c>
      <c r="J17" s="159"/>
      <c r="K17" s="57"/>
      <c r="L17" s="57"/>
      <c r="M17" s="57">
        <v>0.0025</v>
      </c>
      <c r="N17" s="57">
        <v>0.005</v>
      </c>
      <c r="O17" s="182">
        <v>0.025</v>
      </c>
      <c r="P17" s="183">
        <v>0.02</v>
      </c>
      <c r="Q17" s="158"/>
      <c r="R17" s="143"/>
      <c r="S17" s="57"/>
      <c r="T17" s="57"/>
      <c r="U17" s="57"/>
      <c r="V17" s="57"/>
      <c r="W17" s="57"/>
      <c r="X17" s="57"/>
      <c r="Y17" s="57"/>
      <c r="Z17" s="57"/>
      <c r="AA17" s="155"/>
      <c r="AB17" s="148"/>
      <c r="AC17" s="58"/>
    </row>
    <row r="18" spans="1:29" ht="12.75">
      <c r="A18" s="64" t="s">
        <v>85</v>
      </c>
      <c r="B18" s="65"/>
      <c r="C18" s="66" t="s">
        <v>65</v>
      </c>
      <c r="D18" s="59">
        <f t="shared" si="0"/>
        <v>0.25</v>
      </c>
      <c r="E18" s="67">
        <f t="shared" si="4"/>
        <v>0.45</v>
      </c>
      <c r="F18" s="68">
        <f t="shared" si="5"/>
        <v>0.25</v>
      </c>
      <c r="G18" s="118">
        <f t="shared" si="6"/>
        <v>0.5625</v>
      </c>
      <c r="H18" s="70"/>
      <c r="I18" s="173">
        <f t="shared" si="7"/>
        <v>0.45</v>
      </c>
      <c r="J18" s="159"/>
      <c r="K18" s="57"/>
      <c r="L18" s="57">
        <f>0.45/3.3</f>
        <v>0.13636363636363638</v>
      </c>
      <c r="M18" s="57"/>
      <c r="N18" s="57"/>
      <c r="O18" s="57"/>
      <c r="P18" s="155"/>
      <c r="Q18" s="159"/>
      <c r="R18" s="57"/>
      <c r="S18" s="57"/>
      <c r="T18" s="57"/>
      <c r="U18" s="57"/>
      <c r="V18" s="57"/>
      <c r="W18" s="57"/>
      <c r="X18" s="57"/>
      <c r="Y18" s="57"/>
      <c r="Z18" s="57"/>
      <c r="AA18" s="155"/>
      <c r="AB18" s="148"/>
      <c r="AC18" s="58"/>
    </row>
    <row r="19" spans="1:29" ht="12.75">
      <c r="A19" s="64" t="s">
        <v>77</v>
      </c>
      <c r="B19" s="65"/>
      <c r="C19" s="66" t="s">
        <v>65</v>
      </c>
      <c r="D19" s="59">
        <f t="shared" si="0"/>
        <v>0.25</v>
      </c>
      <c r="E19" s="67">
        <f t="shared" si="4"/>
        <v>1.0806999999999998</v>
      </c>
      <c r="F19" s="68">
        <f t="shared" si="5"/>
        <v>0.25</v>
      </c>
      <c r="G19" s="118">
        <f t="shared" si="6"/>
        <v>1.3508749999999998</v>
      </c>
      <c r="H19" s="70"/>
      <c r="I19" s="173">
        <f t="shared" si="7"/>
        <v>1.0806999999999998</v>
      </c>
      <c r="J19" s="159">
        <v>0.02</v>
      </c>
      <c r="K19" s="57">
        <v>0.143</v>
      </c>
      <c r="L19" s="57">
        <v>0.151</v>
      </c>
      <c r="M19" s="57">
        <v>0.016</v>
      </c>
      <c r="N19" s="144">
        <v>0.025</v>
      </c>
      <c r="O19" s="185">
        <v>0.001</v>
      </c>
      <c r="P19" s="78">
        <v>0.001</v>
      </c>
      <c r="Q19" s="159"/>
      <c r="R19" s="57"/>
      <c r="S19" s="57"/>
      <c r="T19" s="57"/>
      <c r="U19" s="57"/>
      <c r="V19" s="57"/>
      <c r="W19" s="57"/>
      <c r="X19" s="57"/>
      <c r="Y19" s="57"/>
      <c r="Z19" s="57"/>
      <c r="AA19" s="155"/>
      <c r="AB19" s="148"/>
      <c r="AC19" s="58"/>
    </row>
    <row r="20" spans="1:29" ht="12.75">
      <c r="A20" s="80" t="s">
        <v>78</v>
      </c>
      <c r="B20" s="81" t="s">
        <v>13</v>
      </c>
      <c r="C20" s="82" t="s">
        <v>64</v>
      </c>
      <c r="D20" s="83">
        <f t="shared" si="0"/>
        <v>0.15</v>
      </c>
      <c r="E20" s="84">
        <f t="shared" si="4"/>
        <v>2.435894999999999</v>
      </c>
      <c r="F20" s="135">
        <f t="shared" si="5"/>
        <v>0.15</v>
      </c>
      <c r="G20" s="136">
        <f t="shared" si="6"/>
        <v>2.8012792499999986</v>
      </c>
      <c r="H20" s="70"/>
      <c r="I20" s="173">
        <f t="shared" si="7"/>
        <v>2.435894999999999</v>
      </c>
      <c r="J20" s="160">
        <f>SUM(J6:J19)*$L$25</f>
        <v>0.016065</v>
      </c>
      <c r="K20" s="141">
        <f>SUM(K6:K19)*$L$25</f>
        <v>0.19170000000000004</v>
      </c>
      <c r="L20" s="142">
        <f>SUM(L6:L19)*$L$25</f>
        <v>0.16981363636363636</v>
      </c>
      <c r="M20" s="86">
        <f aca="true" t="shared" si="8" ref="M20:AA20">SUM(M6:M19)*$L$25</f>
        <v>0.026325</v>
      </c>
      <c r="N20" s="86">
        <f t="shared" si="8"/>
        <v>0.036000000000000004</v>
      </c>
      <c r="O20" s="86">
        <f t="shared" si="8"/>
        <v>0.019125000000000003</v>
      </c>
      <c r="P20" s="161">
        <f t="shared" si="8"/>
        <v>0.014175</v>
      </c>
      <c r="Q20" s="160">
        <f t="shared" si="8"/>
        <v>0.019799999999999998</v>
      </c>
      <c r="R20" s="86">
        <f t="shared" si="8"/>
        <v>0.01485</v>
      </c>
      <c r="S20" s="86">
        <f t="shared" si="8"/>
        <v>0</v>
      </c>
      <c r="T20" s="86">
        <f t="shared" si="8"/>
        <v>0.00027</v>
      </c>
      <c r="U20" s="86">
        <f t="shared" si="8"/>
        <v>0.00027</v>
      </c>
      <c r="V20" s="86">
        <f t="shared" si="8"/>
        <v>0.0027</v>
      </c>
      <c r="W20" s="86">
        <f t="shared" si="8"/>
        <v>0.0027</v>
      </c>
      <c r="X20" s="86">
        <f t="shared" si="8"/>
        <v>0.0027</v>
      </c>
      <c r="Y20" s="86">
        <f t="shared" si="8"/>
        <v>0.0027</v>
      </c>
      <c r="Z20" s="86">
        <f t="shared" si="8"/>
        <v>0.0027</v>
      </c>
      <c r="AA20" s="161">
        <f t="shared" si="8"/>
        <v>0.0027</v>
      </c>
      <c r="AB20" s="149"/>
      <c r="AC20" s="87"/>
    </row>
    <row r="21" spans="1:29" ht="12.75">
      <c r="A21" s="88"/>
      <c r="B21" s="39"/>
      <c r="C21" s="66"/>
      <c r="D21" s="59"/>
      <c r="E21" s="67"/>
      <c r="F21" s="68"/>
      <c r="G21" s="69"/>
      <c r="H21" s="70"/>
      <c r="I21" s="175"/>
      <c r="J21" s="162"/>
      <c r="K21" s="89"/>
      <c r="L21" s="89"/>
      <c r="M21" s="89"/>
      <c r="N21" s="89"/>
      <c r="O21" s="89"/>
      <c r="P21" s="163"/>
      <c r="Q21" s="162"/>
      <c r="R21" s="89"/>
      <c r="S21" s="89"/>
      <c r="T21" s="89"/>
      <c r="U21" s="89"/>
      <c r="V21" s="89"/>
      <c r="W21" s="89"/>
      <c r="X21" s="89"/>
      <c r="Y21" s="89"/>
      <c r="Z21" s="89"/>
      <c r="AA21" s="163"/>
      <c r="AB21" s="90"/>
      <c r="AC21" s="90"/>
    </row>
    <row r="22" spans="1:29" s="53" customFormat="1" ht="16.5" thickBot="1">
      <c r="A22" s="91" t="s">
        <v>79</v>
      </c>
      <c r="B22" s="92"/>
      <c r="C22" s="92"/>
      <c r="D22" s="93"/>
      <c r="E22" s="122">
        <f>SUM(E13+E6)</f>
        <v>7.848994999999999</v>
      </c>
      <c r="F22" s="122">
        <f>SUM(F13+F6)</f>
        <v>0.4256575014639038</v>
      </c>
      <c r="G22" s="186">
        <f>SUM(G13+G6)</f>
        <v>9.263414249999999</v>
      </c>
      <c r="H22" s="94"/>
      <c r="I22" s="176">
        <f>SUM(I6:I12)+SUM(I14:I20)</f>
        <v>7.848994999999999</v>
      </c>
      <c r="J22" s="164">
        <v>5</v>
      </c>
      <c r="K22" s="97">
        <v>1.8</v>
      </c>
      <c r="L22" s="97">
        <v>3.3</v>
      </c>
      <c r="M22" s="97">
        <v>5</v>
      </c>
      <c r="N22" s="97">
        <v>5</v>
      </c>
      <c r="O22" s="97">
        <v>10</v>
      </c>
      <c r="P22" s="165">
        <v>10</v>
      </c>
      <c r="Q22" s="164">
        <v>10</v>
      </c>
      <c r="R22" s="97">
        <v>10</v>
      </c>
      <c r="S22" s="97">
        <v>28</v>
      </c>
      <c r="T22" s="97">
        <v>250</v>
      </c>
      <c r="U22" s="97">
        <v>250</v>
      </c>
      <c r="V22" s="97">
        <v>20</v>
      </c>
      <c r="W22" s="97">
        <v>20</v>
      </c>
      <c r="X22" s="97">
        <v>20</v>
      </c>
      <c r="Y22" s="97">
        <v>20</v>
      </c>
      <c r="Z22" s="97">
        <v>20</v>
      </c>
      <c r="AA22" s="165">
        <v>20</v>
      </c>
      <c r="AB22" s="150" t="s">
        <v>80</v>
      </c>
      <c r="AC22" s="99"/>
    </row>
    <row r="23" spans="1:29" s="53" customFormat="1" ht="15.75">
      <c r="A23" s="100"/>
      <c r="B23" s="63"/>
      <c r="C23" s="101"/>
      <c r="D23" s="101"/>
      <c r="E23" s="63"/>
      <c r="F23" s="102"/>
      <c r="G23" s="94"/>
      <c r="H23" s="94"/>
      <c r="I23" s="177"/>
      <c r="J23" s="166">
        <f aca="true" t="shared" si="9" ref="J23:AA23">SUM(J6:J12)+SUM(J14:J19)</f>
        <v>0.035699999999999996</v>
      </c>
      <c r="K23" s="104">
        <f>SUM(K6:K12)+SUM(K14:K19)</f>
        <v>0.42600000000000005</v>
      </c>
      <c r="L23" s="104">
        <f t="shared" si="9"/>
        <v>0.37736363636363635</v>
      </c>
      <c r="M23" s="104">
        <f t="shared" si="9"/>
        <v>0.0585</v>
      </c>
      <c r="N23" s="104">
        <f t="shared" si="9"/>
        <v>0.08</v>
      </c>
      <c r="O23" s="104">
        <f>SUM(O6:O12)+SUM(O14:O19)</f>
        <v>0.0425</v>
      </c>
      <c r="P23" s="167">
        <f>SUM(P6:P12)+SUM(P14:P19)</f>
        <v>0.0315</v>
      </c>
      <c r="Q23" s="166">
        <f t="shared" si="9"/>
        <v>0.044</v>
      </c>
      <c r="R23" s="104">
        <f t="shared" si="9"/>
        <v>0.033</v>
      </c>
      <c r="S23" s="104">
        <f t="shared" si="9"/>
        <v>0</v>
      </c>
      <c r="T23" s="104">
        <f t="shared" si="9"/>
        <v>0.0006</v>
      </c>
      <c r="U23" s="104">
        <f t="shared" si="9"/>
        <v>0.0006</v>
      </c>
      <c r="V23" s="104">
        <f t="shared" si="9"/>
        <v>0.006</v>
      </c>
      <c r="W23" s="104">
        <f t="shared" si="9"/>
        <v>0.006</v>
      </c>
      <c r="X23" s="104">
        <f t="shared" si="9"/>
        <v>0.006</v>
      </c>
      <c r="Y23" s="104">
        <f t="shared" si="9"/>
        <v>0.006</v>
      </c>
      <c r="Z23" s="104">
        <f t="shared" si="9"/>
        <v>0.006</v>
      </c>
      <c r="AA23" s="167">
        <f t="shared" si="9"/>
        <v>0.006</v>
      </c>
      <c r="AB23" s="150" t="s">
        <v>81</v>
      </c>
      <c r="AC23" s="99"/>
    </row>
    <row r="24" spans="1:29" s="53" customFormat="1" ht="16.5" thickBot="1">
      <c r="A24"/>
      <c r="B24" s="66"/>
      <c r="H24" s="105"/>
      <c r="I24" s="178"/>
      <c r="J24" s="168">
        <f aca="true" t="shared" si="10" ref="J24:AA24">J22*J23</f>
        <v>0.1785</v>
      </c>
      <c r="K24" s="181">
        <f t="shared" si="10"/>
        <v>0.7668000000000001</v>
      </c>
      <c r="L24" s="169">
        <f t="shared" si="10"/>
        <v>1.2452999999999999</v>
      </c>
      <c r="M24" s="169">
        <f t="shared" si="10"/>
        <v>0.29250000000000004</v>
      </c>
      <c r="N24" s="169">
        <f t="shared" si="10"/>
        <v>0.4</v>
      </c>
      <c r="O24" s="169">
        <f t="shared" si="10"/>
        <v>0.42500000000000004</v>
      </c>
      <c r="P24" s="170">
        <f t="shared" si="10"/>
        <v>0.315</v>
      </c>
      <c r="Q24" s="168">
        <f t="shared" si="10"/>
        <v>0.43999999999999995</v>
      </c>
      <c r="R24" s="169">
        <f t="shared" si="10"/>
        <v>0.33</v>
      </c>
      <c r="S24" s="169">
        <f t="shared" si="10"/>
        <v>0</v>
      </c>
      <c r="T24" s="169">
        <f t="shared" si="10"/>
        <v>0.15</v>
      </c>
      <c r="U24" s="169">
        <f t="shared" si="10"/>
        <v>0.15</v>
      </c>
      <c r="V24" s="169">
        <f t="shared" si="10"/>
        <v>0.12</v>
      </c>
      <c r="W24" s="169">
        <f t="shared" si="10"/>
        <v>0.12</v>
      </c>
      <c r="X24" s="169">
        <f t="shared" si="10"/>
        <v>0.12</v>
      </c>
      <c r="Y24" s="169">
        <f t="shared" si="10"/>
        <v>0.12</v>
      </c>
      <c r="Z24" s="169">
        <f t="shared" si="10"/>
        <v>0.12</v>
      </c>
      <c r="AA24" s="170">
        <f t="shared" si="10"/>
        <v>0.12</v>
      </c>
      <c r="AB24" s="151" t="s">
        <v>4</v>
      </c>
      <c r="AC24" s="110"/>
    </row>
    <row r="25" spans="1:29" s="53" customFormat="1" ht="15">
      <c r="A25"/>
      <c r="B25" s="39"/>
      <c r="C25" s="63"/>
      <c r="D25" s="63"/>
      <c r="E25" s="112"/>
      <c r="F25" s="112"/>
      <c r="G25" s="112"/>
      <c r="H25" s="94"/>
      <c r="I25" s="1" t="s">
        <v>82</v>
      </c>
      <c r="L25" s="112">
        <v>0.45</v>
      </c>
      <c r="M25" s="113"/>
      <c r="AC25" s="71"/>
    </row>
    <row r="26" spans="2:15" ht="12.75">
      <c r="B26" s="39"/>
      <c r="C26" s="65"/>
      <c r="D26" s="114"/>
      <c r="E26" s="115"/>
      <c r="F26" s="70"/>
      <c r="G26" s="116"/>
      <c r="I26" s="113" t="s">
        <v>125</v>
      </c>
      <c r="O26" s="138"/>
    </row>
    <row r="27" spans="1:28" ht="25.5">
      <c r="A27" s="133" t="s">
        <v>107</v>
      </c>
      <c r="B27" s="134" t="s">
        <v>108</v>
      </c>
      <c r="C27" s="134" t="s">
        <v>112</v>
      </c>
      <c r="D27" s="418" t="s">
        <v>101</v>
      </c>
      <c r="E27" s="390"/>
      <c r="F27" s="390"/>
      <c r="G27" s="390"/>
      <c r="H27" s="390"/>
      <c r="I27" s="117"/>
      <c r="M27" s="1"/>
      <c r="N27" s="1"/>
      <c r="AB27" s="111"/>
    </row>
    <row r="28" spans="1:13" ht="12.75">
      <c r="A28" s="20" t="s">
        <v>96</v>
      </c>
      <c r="B28" s="21">
        <f>G22</f>
        <v>9.263414249999999</v>
      </c>
      <c r="C28" s="131">
        <f>G22/22</f>
        <v>0.421064284090909</v>
      </c>
      <c r="D28" s="450" t="s">
        <v>97</v>
      </c>
      <c r="E28" s="450"/>
      <c r="F28" s="450"/>
      <c r="G28" s="450"/>
      <c r="H28" s="450"/>
      <c r="I28"/>
      <c r="M28" s="139"/>
    </row>
    <row r="29" spans="1:21" ht="12.75">
      <c r="A29" s="132" t="s">
        <v>98</v>
      </c>
      <c r="B29" s="21">
        <f>B28/2</f>
        <v>4.631707124999999</v>
      </c>
      <c r="C29" s="131">
        <f>35/F39</f>
        <v>0.3349374987086776</v>
      </c>
      <c r="D29" s="449" t="s">
        <v>114</v>
      </c>
      <c r="E29" s="450"/>
      <c r="F29" s="450"/>
      <c r="G29" s="450"/>
      <c r="H29" s="450"/>
      <c r="U29" s="113"/>
    </row>
    <row r="30" spans="1:9" ht="12.75">
      <c r="A30" s="132" t="s">
        <v>99</v>
      </c>
      <c r="B30" s="21">
        <f>C38</f>
        <v>0.3372727272727272</v>
      </c>
      <c r="C30" s="21">
        <f>MAX(C36:C38)</f>
        <v>2</v>
      </c>
      <c r="D30" s="449" t="s">
        <v>115</v>
      </c>
      <c r="E30" s="450"/>
      <c r="F30" s="450"/>
      <c r="G30" s="450"/>
      <c r="H30" s="450"/>
      <c r="I30" s="79"/>
    </row>
    <row r="31" spans="1:13" ht="12.75">
      <c r="A31" s="132" t="s">
        <v>100</v>
      </c>
      <c r="B31" s="21">
        <f>C38/2</f>
        <v>0.1686363636363636</v>
      </c>
      <c r="C31" s="21">
        <f>MAX(C36:C38)</f>
        <v>2</v>
      </c>
      <c r="D31" s="449" t="s">
        <v>116</v>
      </c>
      <c r="E31" s="450"/>
      <c r="F31" s="450"/>
      <c r="G31" s="450"/>
      <c r="H31" s="450"/>
      <c r="I31" s="79"/>
      <c r="M31" s="39"/>
    </row>
    <row r="32" ht="12.75">
      <c r="M32" s="39"/>
    </row>
    <row r="33" spans="1:3" ht="12.75">
      <c r="A33" s="113" t="s">
        <v>103</v>
      </c>
      <c r="B33" s="39">
        <v>22</v>
      </c>
      <c r="C33" s="79" t="s">
        <v>105</v>
      </c>
    </row>
    <row r="34" spans="1:3" ht="12.75">
      <c r="A34" s="113" t="s">
        <v>104</v>
      </c>
      <c r="B34">
        <v>35</v>
      </c>
      <c r="C34" t="s">
        <v>105</v>
      </c>
    </row>
    <row r="35" spans="1:3" ht="12.75">
      <c r="A35" s="113"/>
      <c r="C35"/>
    </row>
    <row r="36" spans="1:7" ht="12.75">
      <c r="A36" t="s">
        <v>106</v>
      </c>
      <c r="B36" s="2"/>
      <c r="C36" s="130">
        <f>B34/F36</f>
        <v>1.1290322580645162</v>
      </c>
      <c r="D36" s="127" t="s">
        <v>111</v>
      </c>
      <c r="F36" s="129">
        <v>31</v>
      </c>
      <c r="G36" s="113" t="s">
        <v>102</v>
      </c>
    </row>
    <row r="37" spans="1:13" ht="12.75">
      <c r="A37" s="79" t="s">
        <v>110</v>
      </c>
      <c r="B37" s="2"/>
      <c r="C37" s="128">
        <v>2</v>
      </c>
      <c r="D37" s="127" t="s">
        <v>111</v>
      </c>
      <c r="E37" s="113"/>
      <c r="F37" s="129">
        <f>B34/C37</f>
        <v>17.5</v>
      </c>
      <c r="G37" s="113" t="s">
        <v>102</v>
      </c>
      <c r="M37" s="39"/>
    </row>
    <row r="38" spans="1:13" ht="12.75">
      <c r="A38" s="79" t="s">
        <v>109</v>
      </c>
      <c r="B38" s="124"/>
      <c r="C38" s="128">
        <f>B34/F38</f>
        <v>0.3372727272727272</v>
      </c>
      <c r="D38" s="127" t="s">
        <v>111</v>
      </c>
      <c r="E38" s="113"/>
      <c r="F38" s="126">
        <f>22/0.212</f>
        <v>103.77358490566039</v>
      </c>
      <c r="G38" s="113" t="s">
        <v>102</v>
      </c>
      <c r="M38" s="39"/>
    </row>
    <row r="39" spans="1:14" ht="12.75">
      <c r="A39" s="79" t="s">
        <v>113</v>
      </c>
      <c r="C39" s="125">
        <f>B34/F39</f>
        <v>0.3349374987086776</v>
      </c>
      <c r="D39" s="127" t="s">
        <v>111</v>
      </c>
      <c r="E39" s="113"/>
      <c r="F39" s="126">
        <f>22/(G22/2/22)</f>
        <v>104.4971080722208</v>
      </c>
      <c r="G39" s="113" t="s">
        <v>102</v>
      </c>
      <c r="M39" s="1"/>
      <c r="N39" s="1"/>
    </row>
    <row r="42" ht="12.75">
      <c r="I42" s="79"/>
    </row>
  </sheetData>
  <mergeCells count="12">
    <mergeCell ref="J6:P6"/>
    <mergeCell ref="Q6:AA6"/>
    <mergeCell ref="D31:H31"/>
    <mergeCell ref="D27:H27"/>
    <mergeCell ref="D28:H28"/>
    <mergeCell ref="D29:H29"/>
    <mergeCell ref="D30:H30"/>
    <mergeCell ref="A3:A5"/>
    <mergeCell ref="E3:G4"/>
    <mergeCell ref="B3:D4"/>
    <mergeCell ref="J3:AC4"/>
    <mergeCell ref="I3:I4"/>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AC42"/>
  <sheetViews>
    <sheetView zoomScaleSheetLayoutView="100" workbookViewId="0" topLeftCell="A7">
      <selection activeCell="I20" sqref="I20"/>
    </sheetView>
  </sheetViews>
  <sheetFormatPr defaultColWidth="9.140625" defaultRowHeight="12.75"/>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row>
    <row r="2" spans="1:9" ht="4.5" customHeight="1" thickBot="1">
      <c r="A2" s="36"/>
      <c r="I2" s="40"/>
    </row>
    <row r="3" spans="1:29" ht="18"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119</v>
      </c>
      <c r="L5" s="153" t="s">
        <v>48</v>
      </c>
      <c r="M5" s="153" t="s">
        <v>49</v>
      </c>
      <c r="N5" s="153" t="s">
        <v>50</v>
      </c>
      <c r="O5" s="153" t="s">
        <v>129</v>
      </c>
      <c r="P5" s="154" t="s">
        <v>131</v>
      </c>
      <c r="Q5" s="152" t="s">
        <v>53</v>
      </c>
      <c r="R5" s="153" t="s">
        <v>54</v>
      </c>
      <c r="S5" s="153" t="s">
        <v>55</v>
      </c>
      <c r="T5" s="153" t="s">
        <v>126</v>
      </c>
      <c r="U5" s="153" t="s">
        <v>127</v>
      </c>
      <c r="V5" s="153" t="s">
        <v>56</v>
      </c>
      <c r="W5" s="153" t="s">
        <v>57</v>
      </c>
      <c r="X5" s="153" t="s">
        <v>58</v>
      </c>
      <c r="Y5" s="153" t="s">
        <v>59</v>
      </c>
      <c r="Z5" s="153" t="s">
        <v>60</v>
      </c>
      <c r="AA5" s="154" t="s">
        <v>61</v>
      </c>
      <c r="AB5" s="145"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172"/>
      <c r="J6" s="426" t="s">
        <v>128</v>
      </c>
      <c r="K6" s="424"/>
      <c r="L6" s="424"/>
      <c r="M6" s="424"/>
      <c r="N6" s="424"/>
      <c r="O6" s="424"/>
      <c r="P6" s="425"/>
      <c r="Q6" s="426" t="s">
        <v>5</v>
      </c>
      <c r="R6" s="424"/>
      <c r="S6" s="424"/>
      <c r="T6" s="424"/>
      <c r="U6" s="424"/>
      <c r="V6" s="424"/>
      <c r="W6" s="424"/>
      <c r="X6" s="424"/>
      <c r="Y6" s="424"/>
      <c r="Z6" s="424"/>
      <c r="AA6" s="425"/>
      <c r="AB6" s="146"/>
      <c r="AC6" s="52"/>
    </row>
    <row r="7" spans="1:29" ht="12.75">
      <c r="A7" s="64" t="s">
        <v>67</v>
      </c>
      <c r="B7" s="65" t="s">
        <v>13</v>
      </c>
      <c r="C7" s="66" t="s">
        <v>64</v>
      </c>
      <c r="D7" s="59">
        <f t="shared" si="0"/>
        <v>0.15</v>
      </c>
      <c r="E7" s="67">
        <f aca="true" t="shared" si="2" ref="E7:E12">I7</f>
        <v>0.08</v>
      </c>
      <c r="F7" s="68">
        <f t="shared" si="1"/>
        <v>0.25000000000000006</v>
      </c>
      <c r="G7" s="69">
        <v>0.1</v>
      </c>
      <c r="H7" s="70"/>
      <c r="I7" s="173">
        <f aca="true" t="shared" si="3" ref="I7:I12">J7*J$22+K7*K$22+L7*L$22+M7*M$22+N7*N$22+O7*O$22+P7*P$22+Q7*Q$22+R7*R$22+S7*S$22+T7*T$22+U7*U$22+V7*V$22+W7*W$22+X7*X$22+Y7*Y$22+Z7*Z$22+AA7*AA$22</f>
        <v>0.08</v>
      </c>
      <c r="J7" s="64"/>
      <c r="K7" s="56"/>
      <c r="L7" s="56"/>
      <c r="M7" s="56"/>
      <c r="N7" s="56"/>
      <c r="O7" s="56"/>
      <c r="P7" s="180"/>
      <c r="Q7" s="64"/>
      <c r="R7" s="56"/>
      <c r="S7" s="56"/>
      <c r="T7" s="56"/>
      <c r="U7" s="56"/>
      <c r="V7" s="57">
        <v>0.004</v>
      </c>
      <c r="W7" s="57"/>
      <c r="X7" s="57"/>
      <c r="Y7" s="57"/>
      <c r="Z7" s="57"/>
      <c r="AA7" s="155"/>
      <c r="AB7" s="147">
        <f>0.1</f>
        <v>0.1</v>
      </c>
      <c r="AC7" s="60">
        <v>2</v>
      </c>
    </row>
    <row r="8" spans="1:29" ht="12.75">
      <c r="A8" s="64" t="s">
        <v>68</v>
      </c>
      <c r="B8" s="65" t="s">
        <v>13</v>
      </c>
      <c r="C8" s="66" t="s">
        <v>64</v>
      </c>
      <c r="D8" s="59">
        <f t="shared" si="0"/>
        <v>0.15</v>
      </c>
      <c r="E8" s="67">
        <f t="shared" si="2"/>
        <v>0.08</v>
      </c>
      <c r="F8" s="68">
        <f t="shared" si="1"/>
        <v>0.25000000000000006</v>
      </c>
      <c r="G8" s="69">
        <v>0.1</v>
      </c>
      <c r="H8" s="70"/>
      <c r="I8" s="173">
        <f t="shared" si="3"/>
        <v>0.08</v>
      </c>
      <c r="J8" s="64"/>
      <c r="K8" s="56"/>
      <c r="L8" s="56"/>
      <c r="M8" s="56"/>
      <c r="N8" s="56"/>
      <c r="O8" s="56"/>
      <c r="P8" s="180"/>
      <c r="Q8" s="64"/>
      <c r="R8" s="56"/>
      <c r="S8" s="56"/>
      <c r="T8" s="56"/>
      <c r="U8" s="56"/>
      <c r="V8" s="57"/>
      <c r="W8" s="57">
        <v>0.004</v>
      </c>
      <c r="X8" s="57"/>
      <c r="Y8" s="57"/>
      <c r="Z8" s="57"/>
      <c r="AA8" s="155"/>
      <c r="AB8" s="147">
        <f>0.1</f>
        <v>0.1</v>
      </c>
      <c r="AC8" s="60">
        <v>2</v>
      </c>
    </row>
    <row r="9" spans="1:29" ht="12.75">
      <c r="A9" s="64" t="s">
        <v>69</v>
      </c>
      <c r="B9" s="65" t="s">
        <v>13</v>
      </c>
      <c r="C9" s="66" t="s">
        <v>64</v>
      </c>
      <c r="D9" s="59">
        <f t="shared" si="0"/>
        <v>0.15</v>
      </c>
      <c r="E9" s="67">
        <f t="shared" si="2"/>
        <v>0.08</v>
      </c>
      <c r="F9" s="68">
        <f t="shared" si="1"/>
        <v>0.25000000000000006</v>
      </c>
      <c r="G9" s="69">
        <v>0.1</v>
      </c>
      <c r="H9" s="70"/>
      <c r="I9" s="173">
        <f t="shared" si="3"/>
        <v>0.08</v>
      </c>
      <c r="J9" s="64"/>
      <c r="K9" s="56"/>
      <c r="L9" s="56"/>
      <c r="M9" s="56"/>
      <c r="N9" s="56"/>
      <c r="O9" s="56"/>
      <c r="P9" s="180"/>
      <c r="Q9" s="64"/>
      <c r="R9" s="56"/>
      <c r="S9" s="56"/>
      <c r="T9" s="56"/>
      <c r="U9" s="56"/>
      <c r="V9" s="57"/>
      <c r="W9" s="57"/>
      <c r="X9" s="57">
        <v>0.004</v>
      </c>
      <c r="Y9" s="57"/>
      <c r="Z9" s="57"/>
      <c r="AA9" s="155"/>
      <c r="AB9" s="147">
        <f>0.1</f>
        <v>0.1</v>
      </c>
      <c r="AC9" s="60">
        <v>2</v>
      </c>
    </row>
    <row r="10" spans="1:29" ht="12.75">
      <c r="A10" s="64" t="s">
        <v>70</v>
      </c>
      <c r="B10" s="65" t="s">
        <v>13</v>
      </c>
      <c r="C10" s="66" t="s">
        <v>64</v>
      </c>
      <c r="D10" s="59">
        <f t="shared" si="0"/>
        <v>0.15</v>
      </c>
      <c r="E10" s="67">
        <f t="shared" si="2"/>
        <v>0.08</v>
      </c>
      <c r="F10" s="68">
        <f t="shared" si="1"/>
        <v>0.25000000000000006</v>
      </c>
      <c r="G10" s="69">
        <v>0.1</v>
      </c>
      <c r="H10" s="70"/>
      <c r="I10" s="173">
        <f t="shared" si="3"/>
        <v>0.08</v>
      </c>
      <c r="J10" s="64"/>
      <c r="K10" s="56"/>
      <c r="L10" s="56"/>
      <c r="M10" s="56"/>
      <c r="N10" s="56"/>
      <c r="O10" s="56"/>
      <c r="P10" s="180"/>
      <c r="Q10" s="64"/>
      <c r="R10" s="56"/>
      <c r="S10" s="56"/>
      <c r="T10" s="56"/>
      <c r="U10" s="56"/>
      <c r="V10" s="57"/>
      <c r="W10" s="57"/>
      <c r="X10" s="57"/>
      <c r="Y10" s="57">
        <v>0.004</v>
      </c>
      <c r="Z10" s="57"/>
      <c r="AA10" s="155"/>
      <c r="AB10" s="147">
        <f>0.1</f>
        <v>0.1</v>
      </c>
      <c r="AC10" s="60">
        <v>2</v>
      </c>
    </row>
    <row r="11" spans="1:29" ht="12.75">
      <c r="A11" s="64" t="s">
        <v>71</v>
      </c>
      <c r="B11" s="65" t="s">
        <v>13</v>
      </c>
      <c r="C11" s="66" t="s">
        <v>64</v>
      </c>
      <c r="D11" s="59">
        <f t="shared" si="0"/>
        <v>0.15</v>
      </c>
      <c r="E11" s="67">
        <f t="shared" si="2"/>
        <v>0.08</v>
      </c>
      <c r="F11" s="68">
        <f t="shared" si="1"/>
        <v>0.25000000000000006</v>
      </c>
      <c r="G11" s="69">
        <v>0.1</v>
      </c>
      <c r="H11" s="70"/>
      <c r="I11" s="173">
        <f t="shared" si="3"/>
        <v>0.08</v>
      </c>
      <c r="J11" s="64"/>
      <c r="K11" s="56"/>
      <c r="L11" s="56"/>
      <c r="M11" s="56"/>
      <c r="N11" s="56"/>
      <c r="O11" s="56"/>
      <c r="P11" s="180"/>
      <c r="Q11" s="64"/>
      <c r="R11" s="56"/>
      <c r="S11" s="56"/>
      <c r="T11" s="56"/>
      <c r="U11" s="56"/>
      <c r="V11" s="57"/>
      <c r="W11" s="57"/>
      <c r="X11" s="57"/>
      <c r="Y11" s="57"/>
      <c r="Z11" s="57">
        <v>0.004</v>
      </c>
      <c r="AA11" s="155"/>
      <c r="AB11" s="147">
        <f>28/31</f>
        <v>0.9032258064516129</v>
      </c>
      <c r="AC11" s="60"/>
    </row>
    <row r="12" spans="1:29" ht="12.75">
      <c r="A12" s="64" t="s">
        <v>72</v>
      </c>
      <c r="B12" s="65" t="s">
        <v>13</v>
      </c>
      <c r="C12" s="66" t="s">
        <v>64</v>
      </c>
      <c r="D12" s="59">
        <f t="shared" si="0"/>
        <v>0.15</v>
      </c>
      <c r="E12" s="67">
        <f t="shared" si="2"/>
        <v>0.08</v>
      </c>
      <c r="F12" s="68">
        <f t="shared" si="1"/>
        <v>0.25000000000000006</v>
      </c>
      <c r="G12" s="69">
        <v>0.1</v>
      </c>
      <c r="H12" s="70"/>
      <c r="I12" s="173">
        <f t="shared" si="3"/>
        <v>0.08</v>
      </c>
      <c r="J12" s="64"/>
      <c r="K12" s="56"/>
      <c r="L12" s="56"/>
      <c r="M12" s="56"/>
      <c r="N12" s="56"/>
      <c r="O12" s="56"/>
      <c r="P12" s="180"/>
      <c r="Q12" s="64"/>
      <c r="R12" s="56"/>
      <c r="S12" s="56"/>
      <c r="T12" s="56"/>
      <c r="U12" s="56"/>
      <c r="V12" s="57"/>
      <c r="W12" s="57"/>
      <c r="X12" s="57"/>
      <c r="Y12" s="57"/>
      <c r="Z12" s="57"/>
      <c r="AA12" s="155">
        <v>0.004</v>
      </c>
      <c r="AB12" s="147">
        <f>28/31</f>
        <v>0.9032258064516129</v>
      </c>
      <c r="AC12" s="60"/>
    </row>
    <row r="13" spans="1:29" s="53" customFormat="1" ht="15.75">
      <c r="A13" s="72" t="s">
        <v>73</v>
      </c>
      <c r="B13" s="73"/>
      <c r="C13" s="73"/>
      <c r="D13" s="74" t="str">
        <f t="shared" si="0"/>
        <v> </v>
      </c>
      <c r="E13" s="119">
        <f>SUM(E14:E20)</f>
        <v>7.268478499999999</v>
      </c>
      <c r="F13" s="120">
        <f t="shared" si="1"/>
        <v>0.1754221017507309</v>
      </c>
      <c r="G13" s="121">
        <f>SUM(G14:G20)</f>
        <v>8.543530274999998</v>
      </c>
      <c r="H13" s="61"/>
      <c r="I13" s="174"/>
      <c r="J13" s="156"/>
      <c r="K13" s="51"/>
      <c r="L13" s="51"/>
      <c r="M13" s="51"/>
      <c r="N13" s="51"/>
      <c r="O13" s="51"/>
      <c r="P13" s="157"/>
      <c r="Q13" s="156"/>
      <c r="R13" s="51"/>
      <c r="S13" s="51"/>
      <c r="T13" s="51"/>
      <c r="U13" s="51"/>
      <c r="V13" s="51"/>
      <c r="W13" s="51"/>
      <c r="X13" s="51"/>
      <c r="Y13" s="51"/>
      <c r="Z13" s="51"/>
      <c r="AA13" s="157"/>
      <c r="AB13" s="146"/>
      <c r="AC13" s="52"/>
    </row>
    <row r="14" spans="1:29" ht="12.75">
      <c r="A14" s="64" t="s">
        <v>74</v>
      </c>
      <c r="B14" s="76" t="s">
        <v>13</v>
      </c>
      <c r="C14" s="30" t="s">
        <v>64</v>
      </c>
      <c r="D14" s="77">
        <f t="shared" si="0"/>
        <v>0.15</v>
      </c>
      <c r="E14" s="70">
        <f aca="true" t="shared" si="4" ref="E14:E20">I14</f>
        <v>1.442</v>
      </c>
      <c r="F14" s="68">
        <f aca="true" t="shared" si="5" ref="F14:F20">D14</f>
        <v>0.15</v>
      </c>
      <c r="G14" s="118">
        <f aca="true" t="shared" si="6" ref="G14:G20">E14*(1+F14)</f>
        <v>1.6582999999999999</v>
      </c>
      <c r="H14" s="70"/>
      <c r="I14" s="173">
        <f aca="true" t="shared" si="7" ref="I14:I20">J14*J$22+K14*K$22+L14*L$22+M14*M$22+N14*N$22+O14*O$22+P14*P$22+Q14*Q$22+R14*R$22+S14*S$22+T14*T$22+U14*U$22+V14*V$22+W14*W$22+X14*X$22+Y14*Y$22+Z14*Z$22+AA14*AA$22</f>
        <v>1.442</v>
      </c>
      <c r="J14" s="159">
        <f>DFB_2007_05_22!R21/1000</f>
        <v>0.01</v>
      </c>
      <c r="K14" s="57">
        <f>DFB_2007_05_22!Y21/1000</f>
        <v>0.25</v>
      </c>
      <c r="L14" s="57">
        <f>DFB_2007_05_22!V21/1000</f>
        <v>0.09</v>
      </c>
      <c r="M14" s="57">
        <f>DFB_2007_05_22!L21/1000</f>
        <v>0.04</v>
      </c>
      <c r="N14" s="144">
        <f>DFB_2007_05_22!O21/1000</f>
        <v>0.05</v>
      </c>
      <c r="O14" s="207">
        <f>DFB_2007_05_22!F21/1000</f>
        <v>0.0165</v>
      </c>
      <c r="P14" s="155">
        <f>DFB_2007_05_22!I21/1000</f>
        <v>0.0105</v>
      </c>
      <c r="Q14" s="159"/>
      <c r="R14" s="57"/>
      <c r="S14" s="57"/>
      <c r="T14" s="57"/>
      <c r="U14" s="57"/>
      <c r="V14" s="57"/>
      <c r="W14" s="57"/>
      <c r="X14" s="57"/>
      <c r="Y14" s="57"/>
      <c r="Z14" s="57"/>
      <c r="AA14" s="155"/>
      <c r="AB14" s="148"/>
      <c r="AC14" s="58"/>
    </row>
    <row r="15" spans="1:29" ht="12.75">
      <c r="A15" s="64" t="s">
        <v>117</v>
      </c>
      <c r="B15" s="54"/>
      <c r="C15" s="30" t="s">
        <v>65</v>
      </c>
      <c r="D15" s="59">
        <f t="shared" si="0"/>
        <v>0.25</v>
      </c>
      <c r="E15" s="70">
        <f t="shared" si="4"/>
        <v>0.36000000000000004</v>
      </c>
      <c r="F15" s="68">
        <f t="shared" si="5"/>
        <v>0.25</v>
      </c>
      <c r="G15" s="118">
        <f t="shared" si="6"/>
        <v>0.45000000000000007</v>
      </c>
      <c r="H15" s="70"/>
      <c r="I15" s="173">
        <f t="shared" si="7"/>
        <v>0.36000000000000004</v>
      </c>
      <c r="J15" s="159"/>
      <c r="K15" s="57"/>
      <c r="L15" s="57"/>
      <c r="M15" s="57"/>
      <c r="N15" s="57"/>
      <c r="O15" s="57"/>
      <c r="P15" s="155"/>
      <c r="Q15" s="159">
        <f>0.006*3</f>
        <v>0.018000000000000002</v>
      </c>
      <c r="R15" s="57">
        <f>Q15</f>
        <v>0.018000000000000002</v>
      </c>
      <c r="S15" s="57"/>
      <c r="T15" s="57"/>
      <c r="U15" s="57"/>
      <c r="V15" s="57"/>
      <c r="W15" s="57"/>
      <c r="X15" s="57"/>
      <c r="Y15" s="57"/>
      <c r="Z15" s="57"/>
      <c r="AA15" s="155"/>
      <c r="AB15" s="148"/>
      <c r="AC15" s="58"/>
    </row>
    <row r="16" spans="1:29" ht="12.75">
      <c r="A16" s="64" t="s">
        <v>75</v>
      </c>
      <c r="B16" s="65" t="s">
        <v>13</v>
      </c>
      <c r="C16" s="30" t="s">
        <v>64</v>
      </c>
      <c r="D16" s="59">
        <f t="shared" si="0"/>
        <v>0.15</v>
      </c>
      <c r="E16" s="67">
        <f t="shared" si="4"/>
        <v>1.0280000000000002</v>
      </c>
      <c r="F16" s="68">
        <f t="shared" si="5"/>
        <v>0.15</v>
      </c>
      <c r="G16" s="118">
        <f t="shared" si="6"/>
        <v>1.1822000000000001</v>
      </c>
      <c r="H16" s="70"/>
      <c r="I16" s="173">
        <f t="shared" si="7"/>
        <v>1.0280000000000002</v>
      </c>
      <c r="J16" s="159">
        <v>0.0057</v>
      </c>
      <c r="K16" s="57">
        <v>0.033</v>
      </c>
      <c r="L16" s="57"/>
      <c r="M16" s="57"/>
      <c r="N16" s="57"/>
      <c r="O16" s="57"/>
      <c r="P16" s="155"/>
      <c r="Q16" s="159">
        <v>0.026</v>
      </c>
      <c r="R16" s="57">
        <v>0.015</v>
      </c>
      <c r="S16" s="57"/>
      <c r="T16" s="57">
        <f>0.001*0.6</f>
        <v>0.0006</v>
      </c>
      <c r="U16" s="57">
        <f>0.001*0.6</f>
        <v>0.0006</v>
      </c>
      <c r="V16" s="57">
        <v>0.002</v>
      </c>
      <c r="W16" s="57">
        <v>0.002</v>
      </c>
      <c r="X16" s="57">
        <v>0.002</v>
      </c>
      <c r="Y16" s="57">
        <v>0.002</v>
      </c>
      <c r="Z16" s="57">
        <v>0.002</v>
      </c>
      <c r="AA16" s="155">
        <v>0.002</v>
      </c>
      <c r="AB16" s="148"/>
      <c r="AC16" s="58"/>
    </row>
    <row r="17" spans="1:29" ht="12.75">
      <c r="A17" s="64" t="s">
        <v>76</v>
      </c>
      <c r="B17" s="65" t="s">
        <v>13</v>
      </c>
      <c r="C17" s="30" t="s">
        <v>64</v>
      </c>
      <c r="D17" s="59">
        <f t="shared" si="0"/>
        <v>0.15</v>
      </c>
      <c r="E17" s="67">
        <f t="shared" si="4"/>
        <v>0.4875</v>
      </c>
      <c r="F17" s="68">
        <f t="shared" si="5"/>
        <v>0.15</v>
      </c>
      <c r="G17" s="118">
        <f t="shared" si="6"/>
        <v>0.5606249999999999</v>
      </c>
      <c r="H17" s="70"/>
      <c r="I17" s="173">
        <f t="shared" si="7"/>
        <v>0.4875</v>
      </c>
      <c r="J17" s="159"/>
      <c r="K17" s="57"/>
      <c r="L17" s="57"/>
      <c r="M17" s="57">
        <v>0.0025</v>
      </c>
      <c r="N17" s="57">
        <v>0.005</v>
      </c>
      <c r="O17" s="57">
        <v>0.025</v>
      </c>
      <c r="P17" s="155">
        <v>0.02</v>
      </c>
      <c r="Q17" s="159"/>
      <c r="R17" s="57"/>
      <c r="S17" s="57"/>
      <c r="T17" s="57"/>
      <c r="U17" s="57"/>
      <c r="V17" s="57"/>
      <c r="W17" s="57"/>
      <c r="X17" s="57"/>
      <c r="Y17" s="57"/>
      <c r="Z17" s="57"/>
      <c r="AA17" s="155"/>
      <c r="AB17" s="148"/>
      <c r="AC17" s="58"/>
    </row>
    <row r="18" spans="1:29" ht="12.75">
      <c r="A18" s="64" t="s">
        <v>85</v>
      </c>
      <c r="B18" s="65"/>
      <c r="C18" s="66" t="s">
        <v>65</v>
      </c>
      <c r="D18" s="59">
        <f t="shared" si="0"/>
        <v>0.25</v>
      </c>
      <c r="E18" s="67">
        <f t="shared" si="4"/>
        <v>0.45</v>
      </c>
      <c r="F18" s="68">
        <f t="shared" si="5"/>
        <v>0.25</v>
      </c>
      <c r="G18" s="118">
        <f t="shared" si="6"/>
        <v>0.5625</v>
      </c>
      <c r="H18" s="70"/>
      <c r="I18" s="173">
        <f t="shared" si="7"/>
        <v>0.45</v>
      </c>
      <c r="J18" s="159"/>
      <c r="K18" s="57"/>
      <c r="L18" s="57">
        <f>0.45/3.3</f>
        <v>0.13636363636363638</v>
      </c>
      <c r="M18" s="57"/>
      <c r="N18" s="144"/>
      <c r="O18" s="57"/>
      <c r="P18" s="184"/>
      <c r="Q18" s="159"/>
      <c r="R18" s="57"/>
      <c r="S18" s="57"/>
      <c r="T18" s="57"/>
      <c r="U18" s="57"/>
      <c r="V18" s="57"/>
      <c r="W18" s="57"/>
      <c r="X18" s="57"/>
      <c r="Y18" s="57"/>
      <c r="Z18" s="57"/>
      <c r="AA18" s="155"/>
      <c r="AB18" s="148"/>
      <c r="AC18" s="58"/>
    </row>
    <row r="19" spans="1:29" ht="12.75">
      <c r="A19" s="64" t="s">
        <v>77</v>
      </c>
      <c r="B19" s="65"/>
      <c r="C19" s="66" t="s">
        <v>65</v>
      </c>
      <c r="D19" s="59">
        <f t="shared" si="0"/>
        <v>0.25</v>
      </c>
      <c r="E19" s="67">
        <f t="shared" si="4"/>
        <v>1.0377999999999998</v>
      </c>
      <c r="F19" s="68">
        <f t="shared" si="5"/>
        <v>0.25</v>
      </c>
      <c r="G19" s="118">
        <f t="shared" si="6"/>
        <v>1.2972499999999998</v>
      </c>
      <c r="H19" s="70"/>
      <c r="I19" s="173">
        <f t="shared" si="7"/>
        <v>1.0377999999999998</v>
      </c>
      <c r="J19" s="159">
        <v>0.02</v>
      </c>
      <c r="K19" s="57">
        <v>0.143</v>
      </c>
      <c r="L19" s="57">
        <v>0.151</v>
      </c>
      <c r="M19" s="57">
        <v>0.016</v>
      </c>
      <c r="N19" s="144">
        <v>0.025</v>
      </c>
      <c r="O19" s="185">
        <v>0.001</v>
      </c>
      <c r="P19" s="155">
        <v>0.001</v>
      </c>
      <c r="Q19" s="159"/>
      <c r="R19" s="57"/>
      <c r="S19" s="57"/>
      <c r="T19" s="57"/>
      <c r="U19" s="57"/>
      <c r="V19" s="57"/>
      <c r="W19" s="57"/>
      <c r="X19" s="57"/>
      <c r="Y19" s="57"/>
      <c r="Z19" s="57"/>
      <c r="AA19" s="155"/>
      <c r="AB19" s="148"/>
      <c r="AC19" s="58"/>
    </row>
    <row r="20" spans="1:29" ht="12.75">
      <c r="A20" s="80" t="s">
        <v>78</v>
      </c>
      <c r="B20" s="81" t="s">
        <v>13</v>
      </c>
      <c r="C20" s="82" t="s">
        <v>64</v>
      </c>
      <c r="D20" s="83">
        <f t="shared" si="0"/>
        <v>0.15</v>
      </c>
      <c r="E20" s="84">
        <f t="shared" si="4"/>
        <v>2.4631784999999984</v>
      </c>
      <c r="F20" s="135">
        <f t="shared" si="5"/>
        <v>0.15</v>
      </c>
      <c r="G20" s="136">
        <f t="shared" si="6"/>
        <v>2.832655274999998</v>
      </c>
      <c r="H20" s="70"/>
      <c r="I20" s="173">
        <f t="shared" si="7"/>
        <v>2.4631784999999984</v>
      </c>
      <c r="J20" s="160">
        <f aca="true" t="shared" si="8" ref="J20:AA20">SUM(J6:J19)*$L$25</f>
        <v>0.016065</v>
      </c>
      <c r="K20" s="137">
        <f>SUM(K6:K19)*$L$25*(1+O26)</f>
        <v>0.21087000000000006</v>
      </c>
      <c r="L20" s="140">
        <f>SUM(L6:L19)*$L$25*(1+O26)</f>
        <v>0.18679500000000002</v>
      </c>
      <c r="M20" s="86">
        <f t="shared" si="8"/>
        <v>0.026325</v>
      </c>
      <c r="N20" s="86">
        <f t="shared" si="8"/>
        <v>0.036000000000000004</v>
      </c>
      <c r="O20" s="86">
        <f t="shared" si="8"/>
        <v>0.019125000000000003</v>
      </c>
      <c r="P20" s="161">
        <f t="shared" si="8"/>
        <v>0.014175</v>
      </c>
      <c r="Q20" s="160">
        <f t="shared" si="8"/>
        <v>0.019799999999999998</v>
      </c>
      <c r="R20" s="86">
        <f t="shared" si="8"/>
        <v>0.01485</v>
      </c>
      <c r="S20" s="86">
        <f t="shared" si="8"/>
        <v>0</v>
      </c>
      <c r="T20" s="86">
        <f t="shared" si="8"/>
        <v>0.00027</v>
      </c>
      <c r="U20" s="86">
        <f t="shared" si="8"/>
        <v>0.00027</v>
      </c>
      <c r="V20" s="86">
        <f t="shared" si="8"/>
        <v>0.0027</v>
      </c>
      <c r="W20" s="86">
        <f t="shared" si="8"/>
        <v>0.0027</v>
      </c>
      <c r="X20" s="86">
        <f t="shared" si="8"/>
        <v>0.0027</v>
      </c>
      <c r="Y20" s="86">
        <f t="shared" si="8"/>
        <v>0.0027</v>
      </c>
      <c r="Z20" s="86">
        <f t="shared" si="8"/>
        <v>0.0027</v>
      </c>
      <c r="AA20" s="161">
        <f t="shared" si="8"/>
        <v>0.0027</v>
      </c>
      <c r="AB20" s="149"/>
      <c r="AC20" s="87"/>
    </row>
    <row r="21" spans="1:29" ht="12.75">
      <c r="A21" s="88"/>
      <c r="B21" s="39"/>
      <c r="C21" s="66"/>
      <c r="D21" s="59"/>
      <c r="E21" s="67"/>
      <c r="F21" s="68"/>
      <c r="G21" s="69"/>
      <c r="H21" s="70"/>
      <c r="I21" s="175"/>
      <c r="J21" s="162"/>
      <c r="K21" s="89"/>
      <c r="L21" s="89"/>
      <c r="M21" s="89"/>
      <c r="N21" s="89"/>
      <c r="O21" s="89"/>
      <c r="P21" s="163"/>
      <c r="Q21" s="162"/>
      <c r="R21" s="89"/>
      <c r="S21" s="89"/>
      <c r="T21" s="89"/>
      <c r="U21" s="89"/>
      <c r="V21" s="89"/>
      <c r="W21" s="89"/>
      <c r="X21" s="89"/>
      <c r="Y21" s="89"/>
      <c r="Z21" s="89"/>
      <c r="AA21" s="163"/>
      <c r="AB21" s="90"/>
      <c r="AC21" s="90"/>
    </row>
    <row r="22" spans="1:29" s="53" customFormat="1" ht="16.5" thickBot="1">
      <c r="A22" s="91" t="s">
        <v>79</v>
      </c>
      <c r="B22" s="92"/>
      <c r="C22" s="92"/>
      <c r="D22" s="93"/>
      <c r="E22" s="122">
        <f>SUM(E13+E6)</f>
        <v>7.748478499999999</v>
      </c>
      <c r="F22" s="122">
        <f>SUM(F13+F6)</f>
        <v>0.42542210175073075</v>
      </c>
      <c r="G22" s="122">
        <f>SUM(G13+G6)</f>
        <v>9.143530274999998</v>
      </c>
      <c r="H22" s="94"/>
      <c r="I22" s="176">
        <f>SUM(I6:I12)+SUM(I14:I20)</f>
        <v>7.748478499999999</v>
      </c>
      <c r="J22" s="164">
        <v>5</v>
      </c>
      <c r="K22" s="97">
        <v>1.5</v>
      </c>
      <c r="L22" s="97">
        <v>3.3</v>
      </c>
      <c r="M22" s="97">
        <v>5</v>
      </c>
      <c r="N22" s="97">
        <v>5</v>
      </c>
      <c r="O22" s="97">
        <v>10</v>
      </c>
      <c r="P22" s="165">
        <v>10</v>
      </c>
      <c r="Q22" s="164">
        <v>10</v>
      </c>
      <c r="R22" s="97">
        <v>10</v>
      </c>
      <c r="S22" s="97">
        <v>28</v>
      </c>
      <c r="T22" s="97">
        <v>250</v>
      </c>
      <c r="U22" s="97">
        <v>250</v>
      </c>
      <c r="V22" s="97">
        <v>20</v>
      </c>
      <c r="W22" s="97">
        <v>20</v>
      </c>
      <c r="X22" s="97">
        <v>20</v>
      </c>
      <c r="Y22" s="97">
        <v>20</v>
      </c>
      <c r="Z22" s="97">
        <v>20</v>
      </c>
      <c r="AA22" s="165">
        <v>20</v>
      </c>
      <c r="AB22" s="150" t="s">
        <v>80</v>
      </c>
      <c r="AC22" s="99"/>
    </row>
    <row r="23" spans="1:29" s="53" customFormat="1" ht="15.75">
      <c r="A23" s="100"/>
      <c r="B23" s="63"/>
      <c r="C23" s="101"/>
      <c r="D23" s="101"/>
      <c r="E23" s="63"/>
      <c r="F23" s="102"/>
      <c r="G23" s="94"/>
      <c r="H23" s="94"/>
      <c r="I23" s="177"/>
      <c r="J23" s="166">
        <f aca="true" t="shared" si="9" ref="J23:AA23">SUM(J6:J12)+SUM(J14:J19)</f>
        <v>0.035699999999999996</v>
      </c>
      <c r="K23" s="104">
        <f t="shared" si="9"/>
        <v>0.42600000000000005</v>
      </c>
      <c r="L23" s="104">
        <f t="shared" si="9"/>
        <v>0.37736363636363635</v>
      </c>
      <c r="M23" s="104">
        <f t="shared" si="9"/>
        <v>0.0585</v>
      </c>
      <c r="N23" s="104">
        <f t="shared" si="9"/>
        <v>0.08</v>
      </c>
      <c r="O23" s="104">
        <f t="shared" si="9"/>
        <v>0.0425</v>
      </c>
      <c r="P23" s="167">
        <f t="shared" si="9"/>
        <v>0.0315</v>
      </c>
      <c r="Q23" s="166">
        <f t="shared" si="9"/>
        <v>0.044</v>
      </c>
      <c r="R23" s="104">
        <f t="shared" si="9"/>
        <v>0.033</v>
      </c>
      <c r="S23" s="104">
        <f t="shared" si="9"/>
        <v>0</v>
      </c>
      <c r="T23" s="104">
        <f t="shared" si="9"/>
        <v>0.0006</v>
      </c>
      <c r="U23" s="104">
        <f t="shared" si="9"/>
        <v>0.0006</v>
      </c>
      <c r="V23" s="104">
        <f t="shared" si="9"/>
        <v>0.006</v>
      </c>
      <c r="W23" s="104">
        <f t="shared" si="9"/>
        <v>0.006</v>
      </c>
      <c r="X23" s="104">
        <f t="shared" si="9"/>
        <v>0.006</v>
      </c>
      <c r="Y23" s="104">
        <f>SUM(Y6:Y12)+SUM(Y14:Y19)</f>
        <v>0.006</v>
      </c>
      <c r="Z23" s="104">
        <f t="shared" si="9"/>
        <v>0.006</v>
      </c>
      <c r="AA23" s="167">
        <f t="shared" si="9"/>
        <v>0.006</v>
      </c>
      <c r="AB23" s="150" t="s">
        <v>81</v>
      </c>
      <c r="AC23" s="99"/>
    </row>
    <row r="24" spans="1:29" s="53" customFormat="1" ht="16.5" thickBot="1">
      <c r="A24"/>
      <c r="B24" s="66"/>
      <c r="H24" s="105"/>
      <c r="I24" s="178"/>
      <c r="J24" s="168">
        <f aca="true" t="shared" si="10" ref="J24:AA24">J22*J23</f>
        <v>0.1785</v>
      </c>
      <c r="K24" s="181">
        <f t="shared" si="10"/>
        <v>0.639</v>
      </c>
      <c r="L24" s="169">
        <f t="shared" si="10"/>
        <v>1.2452999999999999</v>
      </c>
      <c r="M24" s="169">
        <f t="shared" si="10"/>
        <v>0.29250000000000004</v>
      </c>
      <c r="N24" s="169">
        <f t="shared" si="10"/>
        <v>0.4</v>
      </c>
      <c r="O24" s="169">
        <f t="shared" si="10"/>
        <v>0.42500000000000004</v>
      </c>
      <c r="P24" s="170">
        <f t="shared" si="10"/>
        <v>0.315</v>
      </c>
      <c r="Q24" s="168">
        <f t="shared" si="10"/>
        <v>0.43999999999999995</v>
      </c>
      <c r="R24" s="169">
        <f t="shared" si="10"/>
        <v>0.33</v>
      </c>
      <c r="S24" s="169">
        <f t="shared" si="10"/>
        <v>0</v>
      </c>
      <c r="T24" s="169">
        <f t="shared" si="10"/>
        <v>0.15</v>
      </c>
      <c r="U24" s="169">
        <f t="shared" si="10"/>
        <v>0.15</v>
      </c>
      <c r="V24" s="169">
        <f t="shared" si="10"/>
        <v>0.12</v>
      </c>
      <c r="W24" s="169">
        <f t="shared" si="10"/>
        <v>0.12</v>
      </c>
      <c r="X24" s="169">
        <f t="shared" si="10"/>
        <v>0.12</v>
      </c>
      <c r="Y24" s="169">
        <f t="shared" si="10"/>
        <v>0.12</v>
      </c>
      <c r="Z24" s="169">
        <f t="shared" si="10"/>
        <v>0.12</v>
      </c>
      <c r="AA24" s="170">
        <f t="shared" si="10"/>
        <v>0.12</v>
      </c>
      <c r="AB24" s="151" t="s">
        <v>4</v>
      </c>
      <c r="AC24" s="110"/>
    </row>
    <row r="25" spans="1:29" s="53" customFormat="1" ht="15">
      <c r="A25"/>
      <c r="B25" s="39"/>
      <c r="C25" s="63"/>
      <c r="D25" s="63"/>
      <c r="E25" s="112"/>
      <c r="F25" s="112"/>
      <c r="G25" s="112"/>
      <c r="H25" s="94"/>
      <c r="I25" s="1" t="s">
        <v>82</v>
      </c>
      <c r="L25" s="112">
        <v>0.45</v>
      </c>
      <c r="M25" s="113"/>
      <c r="AC25" s="71"/>
    </row>
    <row r="26" spans="2:15" ht="12.75">
      <c r="B26" s="39"/>
      <c r="C26" s="65"/>
      <c r="D26" s="114"/>
      <c r="E26" s="115"/>
      <c r="F26" s="70"/>
      <c r="G26" s="116"/>
      <c r="I26" s="113" t="s">
        <v>118</v>
      </c>
      <c r="O26" s="138">
        <v>0.1</v>
      </c>
    </row>
    <row r="27" spans="1:28" ht="25.5">
      <c r="A27" s="133" t="s">
        <v>107</v>
      </c>
      <c r="B27" s="134" t="s">
        <v>108</v>
      </c>
      <c r="C27" s="134" t="s">
        <v>112</v>
      </c>
      <c r="D27" s="418" t="s">
        <v>101</v>
      </c>
      <c r="E27" s="390"/>
      <c r="F27" s="390"/>
      <c r="G27" s="390"/>
      <c r="H27" s="390"/>
      <c r="I27" s="117"/>
      <c r="M27" s="1"/>
      <c r="N27" s="1"/>
      <c r="AB27" s="111"/>
    </row>
    <row r="28" spans="1:14" ht="12.75">
      <c r="A28" s="20" t="s">
        <v>96</v>
      </c>
      <c r="B28" s="21">
        <f>G22</f>
        <v>9.143530274999998</v>
      </c>
      <c r="C28" s="131">
        <f>G22/22</f>
        <v>0.41561501249999994</v>
      </c>
      <c r="D28" s="450" t="s">
        <v>97</v>
      </c>
      <c r="E28" s="450"/>
      <c r="F28" s="450"/>
      <c r="G28" s="450"/>
      <c r="H28" s="450"/>
      <c r="I28"/>
      <c r="J28" t="s">
        <v>120</v>
      </c>
      <c r="M28" s="139">
        <f>SUM(J14:J19)+SUM(K14:K19)*(K22/J22)*(1/(1-O26))+SUM(L14:L19)*(L22/J22)*(1/(1-O26))</f>
        <v>0.4544333333333333</v>
      </c>
      <c r="N28" t="s">
        <v>121</v>
      </c>
    </row>
    <row r="29" spans="1:21" ht="12.75">
      <c r="A29" s="132" t="s">
        <v>98</v>
      </c>
      <c r="B29" s="21">
        <f>B28/2</f>
        <v>4.571765137499999</v>
      </c>
      <c r="C29" s="131">
        <f>35/F39</f>
        <v>0.3306028508522727</v>
      </c>
      <c r="D29" s="449" t="s">
        <v>114</v>
      </c>
      <c r="E29" s="450"/>
      <c r="F29" s="450"/>
      <c r="G29" s="450"/>
      <c r="H29" s="450"/>
      <c r="U29" s="113"/>
    </row>
    <row r="30" spans="1:9" ht="12.75">
      <c r="A30" s="132" t="s">
        <v>99</v>
      </c>
      <c r="B30" s="21">
        <f>C38</f>
        <v>0.3372727272727272</v>
      </c>
      <c r="C30" s="21">
        <f>MAX(C36:C38)</f>
        <v>2</v>
      </c>
      <c r="D30" s="449" t="s">
        <v>115</v>
      </c>
      <c r="E30" s="450"/>
      <c r="F30" s="450"/>
      <c r="G30" s="450"/>
      <c r="H30" s="450"/>
      <c r="I30" s="79"/>
    </row>
    <row r="31" spans="1:13" ht="12.75">
      <c r="A31" s="132" t="s">
        <v>100</v>
      </c>
      <c r="B31" s="21">
        <f>C38/2</f>
        <v>0.1686363636363636</v>
      </c>
      <c r="C31" s="21">
        <f>MAX(C36:C38)</f>
        <v>2</v>
      </c>
      <c r="D31" s="449" t="s">
        <v>116</v>
      </c>
      <c r="E31" s="450"/>
      <c r="F31" s="450"/>
      <c r="G31" s="450"/>
      <c r="H31" s="450"/>
      <c r="I31" s="79"/>
      <c r="M31" s="39"/>
    </row>
    <row r="32" ht="12.75">
      <c r="M32" s="39"/>
    </row>
    <row r="33" spans="1:3" ht="12.75">
      <c r="A33" s="113" t="s">
        <v>103</v>
      </c>
      <c r="B33" s="39">
        <v>22</v>
      </c>
      <c r="C33" s="79" t="s">
        <v>105</v>
      </c>
    </row>
    <row r="34" spans="1:3" ht="12.75">
      <c r="A34" s="113" t="s">
        <v>104</v>
      </c>
      <c r="B34">
        <v>35</v>
      </c>
      <c r="C34" t="s">
        <v>105</v>
      </c>
    </row>
    <row r="35" spans="1:3" ht="12.75">
      <c r="A35" s="113"/>
      <c r="C35"/>
    </row>
    <row r="36" spans="1:7" ht="12.75">
      <c r="A36" t="s">
        <v>106</v>
      </c>
      <c r="B36" s="2"/>
      <c r="C36" s="130">
        <f>B34/F36</f>
        <v>1.1290322580645162</v>
      </c>
      <c r="D36" s="127" t="s">
        <v>111</v>
      </c>
      <c r="F36" s="129">
        <v>31</v>
      </c>
      <c r="G36" s="113" t="s">
        <v>102</v>
      </c>
    </row>
    <row r="37" spans="1:13" ht="12.75">
      <c r="A37" s="79" t="s">
        <v>110</v>
      </c>
      <c r="B37" s="2"/>
      <c r="C37" s="128">
        <v>2</v>
      </c>
      <c r="D37" s="127" t="s">
        <v>111</v>
      </c>
      <c r="E37" s="113"/>
      <c r="F37" s="129">
        <f>B34/C37</f>
        <v>17.5</v>
      </c>
      <c r="G37" s="113" t="s">
        <v>102</v>
      </c>
      <c r="M37" s="39"/>
    </row>
    <row r="38" spans="1:13" ht="12.75">
      <c r="A38" s="79" t="s">
        <v>109</v>
      </c>
      <c r="B38" s="124"/>
      <c r="C38" s="128">
        <f>B34/F38</f>
        <v>0.3372727272727272</v>
      </c>
      <c r="D38" s="127" t="s">
        <v>111</v>
      </c>
      <c r="E38" s="113"/>
      <c r="F38" s="126">
        <f>22/0.212</f>
        <v>103.77358490566039</v>
      </c>
      <c r="G38" s="113" t="s">
        <v>102</v>
      </c>
      <c r="M38" s="39"/>
    </row>
    <row r="39" spans="1:14" ht="12.75">
      <c r="A39" s="79" t="s">
        <v>113</v>
      </c>
      <c r="C39" s="125">
        <f>B34/F39</f>
        <v>0.3306028508522727</v>
      </c>
      <c r="D39" s="127" t="s">
        <v>111</v>
      </c>
      <c r="E39" s="113"/>
      <c r="F39" s="126">
        <f>22/(G22/2/22)</f>
        <v>105.86720565104709</v>
      </c>
      <c r="G39" s="113" t="s">
        <v>102</v>
      </c>
      <c r="M39" s="1"/>
      <c r="N39" s="1"/>
    </row>
    <row r="42" ht="12.75">
      <c r="I42" s="79"/>
    </row>
  </sheetData>
  <mergeCells count="12">
    <mergeCell ref="J6:P6"/>
    <mergeCell ref="Q6:AA6"/>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AC42"/>
  <sheetViews>
    <sheetView zoomScaleSheetLayoutView="100" workbookViewId="0" topLeftCell="E1">
      <selection activeCell="K22" sqref="K22"/>
    </sheetView>
  </sheetViews>
  <sheetFormatPr defaultColWidth="9.140625" defaultRowHeight="12.75"/>
  <cols>
    <col min="1" max="1" width="23.28125" style="0" customWidth="1"/>
    <col min="2" max="2" width="9.7109375" style="0" customWidth="1"/>
    <col min="3" max="3" width="10.00390625" style="37" customWidth="1"/>
    <col min="4" max="4" width="6.2812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36" width="5.7109375" style="0" customWidth="1"/>
  </cols>
  <sheetData>
    <row r="1" spans="1:9" ht="18">
      <c r="A1" s="36" t="s">
        <v>83</v>
      </c>
      <c r="I1" s="40"/>
    </row>
    <row r="2" spans="1:9" ht="4.5" customHeight="1" thickBot="1">
      <c r="A2" s="36"/>
      <c r="I2" s="40"/>
    </row>
    <row r="3" spans="1:29" ht="18"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c r="A4" s="436"/>
      <c r="B4" s="446"/>
      <c r="C4" s="447"/>
      <c r="D4" s="448"/>
      <c r="E4" s="441"/>
      <c r="F4" s="442"/>
      <c r="G4" s="443"/>
      <c r="H4" s="41"/>
      <c r="I4" s="428"/>
      <c r="J4" s="433"/>
      <c r="K4" s="433"/>
      <c r="L4" s="433"/>
      <c r="M4" s="433"/>
      <c r="N4" s="433"/>
      <c r="O4" s="433"/>
      <c r="P4" s="433"/>
      <c r="Q4" s="433"/>
      <c r="R4" s="433"/>
      <c r="S4" s="433"/>
      <c r="T4" s="433"/>
      <c r="U4" s="433"/>
      <c r="V4" s="433"/>
      <c r="W4" s="433"/>
      <c r="X4" s="433"/>
      <c r="Y4" s="433"/>
      <c r="Z4" s="433"/>
      <c r="AA4" s="433"/>
      <c r="AB4" s="433"/>
      <c r="AC4" s="434"/>
    </row>
    <row r="5" spans="1:29" ht="12.75" customHeight="1">
      <c r="A5" s="437"/>
      <c r="B5" s="42" t="s">
        <v>41</v>
      </c>
      <c r="C5" s="43" t="s">
        <v>42</v>
      </c>
      <c r="D5" s="44" t="s">
        <v>43</v>
      </c>
      <c r="E5" s="45" t="s">
        <v>44</v>
      </c>
      <c r="F5" s="46" t="s">
        <v>45</v>
      </c>
      <c r="G5" s="47" t="s">
        <v>88</v>
      </c>
      <c r="H5" s="28"/>
      <c r="I5" s="48" t="s">
        <v>46</v>
      </c>
      <c r="J5" s="49" t="s">
        <v>47</v>
      </c>
      <c r="K5" s="48" t="s">
        <v>91</v>
      </c>
      <c r="L5" s="49" t="s">
        <v>48</v>
      </c>
      <c r="M5" s="49" t="s">
        <v>49</v>
      </c>
      <c r="N5" s="49" t="s">
        <v>50</v>
      </c>
      <c r="O5" s="49" t="s">
        <v>51</v>
      </c>
      <c r="P5" s="49" t="s">
        <v>52</v>
      </c>
      <c r="Q5" s="49" t="s">
        <v>53</v>
      </c>
      <c r="R5" s="49" t="s">
        <v>54</v>
      </c>
      <c r="S5" s="49" t="s">
        <v>55</v>
      </c>
      <c r="T5" s="49" t="s">
        <v>89</v>
      </c>
      <c r="U5" s="49" t="s">
        <v>90</v>
      </c>
      <c r="V5" s="49" t="s">
        <v>56</v>
      </c>
      <c r="W5" s="49" t="s">
        <v>57</v>
      </c>
      <c r="X5" s="49" t="s">
        <v>58</v>
      </c>
      <c r="Y5" s="49" t="s">
        <v>59</v>
      </c>
      <c r="Z5" s="49" t="s">
        <v>60</v>
      </c>
      <c r="AA5" s="49" t="s">
        <v>61</v>
      </c>
      <c r="AB5" s="50" t="s">
        <v>62</v>
      </c>
      <c r="AC5" s="50" t="s">
        <v>63</v>
      </c>
    </row>
    <row r="6" spans="1:29" s="53" customFormat="1" ht="15.75">
      <c r="A6" s="72" t="s">
        <v>66</v>
      </c>
      <c r="B6" s="73"/>
      <c r="C6" s="73"/>
      <c r="D6" s="74" t="str">
        <f aca="true" t="shared" si="0" ref="D6:D20">IF($C6="Concept",0.25,IF($C6="Design",0.15,IF($C6="Prior",0.075,IF($C6="Fab",0.04,IF($C6="Flight",0.02," ")))))</f>
        <v> </v>
      </c>
      <c r="E6" s="119">
        <f>SUM(E7:E12)</f>
        <v>0.48000000000000004</v>
      </c>
      <c r="F6" s="120">
        <f aca="true" t="shared" si="1" ref="F6:F13">(G6-E6)/E6</f>
        <v>0.24999999999999986</v>
      </c>
      <c r="G6" s="121">
        <f>SUM(G7:G12)</f>
        <v>0.6</v>
      </c>
      <c r="H6" s="61"/>
      <c r="I6" s="62"/>
      <c r="J6" s="51"/>
      <c r="K6" s="51"/>
      <c r="L6" s="51"/>
      <c r="M6" s="51"/>
      <c r="N6" s="51"/>
      <c r="O6" s="51"/>
      <c r="P6" s="51"/>
      <c r="Q6" s="51"/>
      <c r="R6" s="51"/>
      <c r="S6" s="51"/>
      <c r="T6" s="51"/>
      <c r="U6" s="51"/>
      <c r="V6" s="51"/>
      <c r="W6" s="51"/>
      <c r="X6" s="51"/>
      <c r="Y6" s="51"/>
      <c r="Z6" s="51"/>
      <c r="AA6" s="51"/>
      <c r="AB6" s="52"/>
      <c r="AC6" s="52"/>
    </row>
    <row r="7" spans="1:29" ht="12.75">
      <c r="A7" s="64" t="s">
        <v>67</v>
      </c>
      <c r="B7" s="65" t="s">
        <v>13</v>
      </c>
      <c r="C7" s="66" t="s">
        <v>64</v>
      </c>
      <c r="D7" s="59">
        <f t="shared" si="0"/>
        <v>0.15</v>
      </c>
      <c r="E7" s="67">
        <f aca="true" t="shared" si="2" ref="E7:E12">I7</f>
        <v>0.08</v>
      </c>
      <c r="F7" s="68">
        <f t="shared" si="1"/>
        <v>0.25000000000000006</v>
      </c>
      <c r="G7" s="69">
        <v>0.1</v>
      </c>
      <c r="H7" s="70"/>
      <c r="I7" s="55">
        <f aca="true" t="shared" si="3" ref="I7:I12">J7*J$22+K7*K$22+L7*L$22+M7*M$22+N7*N$22+O7*O$22+P7*P$22+Q7*Q$22+R7*R$22+S7*S$22+T7*T$22+U7*U$22+V7*V$22+W7*W$22+X7*X$22+Y7*Y$22+Z7*Z$22+AA7*AA$22</f>
        <v>0.08</v>
      </c>
      <c r="J7" s="56"/>
      <c r="K7" s="56"/>
      <c r="L7" s="56"/>
      <c r="M7" s="56"/>
      <c r="N7" s="56"/>
      <c r="O7" s="56"/>
      <c r="P7" s="56"/>
      <c r="Q7" s="56"/>
      <c r="R7" s="56"/>
      <c r="S7" s="56"/>
      <c r="T7" s="56"/>
      <c r="U7" s="56"/>
      <c r="V7" s="57">
        <v>0.004</v>
      </c>
      <c r="W7" s="57"/>
      <c r="X7" s="57"/>
      <c r="Y7" s="57"/>
      <c r="Z7" s="57"/>
      <c r="AA7" s="57"/>
      <c r="AB7" s="60">
        <f>0.1</f>
        <v>0.1</v>
      </c>
      <c r="AC7" s="60">
        <v>2</v>
      </c>
    </row>
    <row r="8" spans="1:29" ht="12.75">
      <c r="A8" s="64" t="s">
        <v>68</v>
      </c>
      <c r="B8" s="65" t="s">
        <v>13</v>
      </c>
      <c r="C8" s="66" t="s">
        <v>64</v>
      </c>
      <c r="D8" s="59">
        <f t="shared" si="0"/>
        <v>0.15</v>
      </c>
      <c r="E8" s="67">
        <f t="shared" si="2"/>
        <v>0.08</v>
      </c>
      <c r="F8" s="68">
        <f t="shared" si="1"/>
        <v>0.25000000000000006</v>
      </c>
      <c r="G8" s="69">
        <v>0.1</v>
      </c>
      <c r="H8" s="70"/>
      <c r="I8" s="55">
        <f t="shared" si="3"/>
        <v>0.08</v>
      </c>
      <c r="J8" s="56"/>
      <c r="K8" s="56"/>
      <c r="L8" s="56"/>
      <c r="M8" s="56"/>
      <c r="N8" s="56"/>
      <c r="O8" s="56"/>
      <c r="P8" s="56"/>
      <c r="Q8" s="56"/>
      <c r="R8" s="56"/>
      <c r="S8" s="56"/>
      <c r="T8" s="56"/>
      <c r="U8" s="56"/>
      <c r="V8" s="57"/>
      <c r="W8" s="57">
        <v>0.004</v>
      </c>
      <c r="X8" s="57"/>
      <c r="Y8" s="57"/>
      <c r="Z8" s="57"/>
      <c r="AA8" s="57"/>
      <c r="AB8" s="60">
        <f>0.1</f>
        <v>0.1</v>
      </c>
      <c r="AC8" s="60">
        <v>2</v>
      </c>
    </row>
    <row r="9" spans="1:29" ht="12.75">
      <c r="A9" s="64" t="s">
        <v>69</v>
      </c>
      <c r="B9" s="65" t="s">
        <v>13</v>
      </c>
      <c r="C9" s="66" t="s">
        <v>64</v>
      </c>
      <c r="D9" s="59">
        <f t="shared" si="0"/>
        <v>0.15</v>
      </c>
      <c r="E9" s="67">
        <f t="shared" si="2"/>
        <v>0.08</v>
      </c>
      <c r="F9" s="68">
        <f t="shared" si="1"/>
        <v>0.25000000000000006</v>
      </c>
      <c r="G9" s="69">
        <v>0.1</v>
      </c>
      <c r="H9" s="70"/>
      <c r="I9" s="55">
        <f t="shared" si="3"/>
        <v>0.08</v>
      </c>
      <c r="J9" s="56"/>
      <c r="K9" s="56"/>
      <c r="L9" s="56"/>
      <c r="M9" s="56"/>
      <c r="N9" s="56"/>
      <c r="O9" s="56"/>
      <c r="P9" s="56"/>
      <c r="Q9" s="56"/>
      <c r="R9" s="56"/>
      <c r="S9" s="56"/>
      <c r="T9" s="56"/>
      <c r="U9" s="56"/>
      <c r="V9" s="57"/>
      <c r="W9" s="57"/>
      <c r="X9" s="57">
        <v>0.004</v>
      </c>
      <c r="Y9" s="57"/>
      <c r="Z9" s="57"/>
      <c r="AA9" s="57"/>
      <c r="AB9" s="60">
        <f>0.1</f>
        <v>0.1</v>
      </c>
      <c r="AC9" s="60">
        <v>2</v>
      </c>
    </row>
    <row r="10" spans="1:29" ht="12.75">
      <c r="A10" s="64" t="s">
        <v>70</v>
      </c>
      <c r="B10" s="65" t="s">
        <v>13</v>
      </c>
      <c r="C10" s="66" t="s">
        <v>64</v>
      </c>
      <c r="D10" s="59">
        <f t="shared" si="0"/>
        <v>0.15</v>
      </c>
      <c r="E10" s="67">
        <f t="shared" si="2"/>
        <v>0.08</v>
      </c>
      <c r="F10" s="68">
        <f t="shared" si="1"/>
        <v>0.25000000000000006</v>
      </c>
      <c r="G10" s="69">
        <v>0.1</v>
      </c>
      <c r="H10" s="70"/>
      <c r="I10" s="55">
        <f t="shared" si="3"/>
        <v>0.08</v>
      </c>
      <c r="J10" s="56"/>
      <c r="K10" s="56"/>
      <c r="L10" s="56"/>
      <c r="M10" s="56"/>
      <c r="N10" s="56"/>
      <c r="O10" s="56"/>
      <c r="P10" s="56"/>
      <c r="Q10" s="56"/>
      <c r="R10" s="56"/>
      <c r="S10" s="56"/>
      <c r="T10" s="56"/>
      <c r="U10" s="56"/>
      <c r="V10" s="57"/>
      <c r="W10" s="57"/>
      <c r="X10" s="57"/>
      <c r="Y10" s="57">
        <v>0.004</v>
      </c>
      <c r="Z10" s="57"/>
      <c r="AA10" s="57"/>
      <c r="AB10" s="60">
        <f>0.1</f>
        <v>0.1</v>
      </c>
      <c r="AC10" s="60">
        <v>2</v>
      </c>
    </row>
    <row r="11" spans="1:29" ht="12.75">
      <c r="A11" s="64" t="s">
        <v>71</v>
      </c>
      <c r="B11" s="65" t="s">
        <v>13</v>
      </c>
      <c r="C11" s="66" t="s">
        <v>64</v>
      </c>
      <c r="D11" s="59">
        <f t="shared" si="0"/>
        <v>0.15</v>
      </c>
      <c r="E11" s="67">
        <f t="shared" si="2"/>
        <v>0.08</v>
      </c>
      <c r="F11" s="68">
        <f t="shared" si="1"/>
        <v>0.25000000000000006</v>
      </c>
      <c r="G11" s="69">
        <v>0.1</v>
      </c>
      <c r="H11" s="70"/>
      <c r="I11" s="55">
        <f t="shared" si="3"/>
        <v>0.08</v>
      </c>
      <c r="J11" s="56"/>
      <c r="K11" s="56"/>
      <c r="L11" s="56"/>
      <c r="M11" s="56"/>
      <c r="N11" s="56"/>
      <c r="O11" s="56"/>
      <c r="P11" s="56"/>
      <c r="Q11" s="56"/>
      <c r="R11" s="56"/>
      <c r="S11" s="56"/>
      <c r="T11" s="56"/>
      <c r="U11" s="56"/>
      <c r="V11" s="57"/>
      <c r="W11" s="57"/>
      <c r="X11" s="57"/>
      <c r="Y11" s="57"/>
      <c r="Z11" s="57">
        <v>0.004</v>
      </c>
      <c r="AA11" s="57"/>
      <c r="AB11" s="60">
        <f>28/31</f>
        <v>0.9032258064516129</v>
      </c>
      <c r="AC11" s="60"/>
    </row>
    <row r="12" spans="1:29" ht="12.75">
      <c r="A12" s="64" t="s">
        <v>72</v>
      </c>
      <c r="B12" s="65" t="s">
        <v>13</v>
      </c>
      <c r="C12" s="66" t="s">
        <v>64</v>
      </c>
      <c r="D12" s="59">
        <f t="shared" si="0"/>
        <v>0.15</v>
      </c>
      <c r="E12" s="67">
        <f t="shared" si="2"/>
        <v>0.08</v>
      </c>
      <c r="F12" s="68">
        <f t="shared" si="1"/>
        <v>0.25000000000000006</v>
      </c>
      <c r="G12" s="69">
        <v>0.1</v>
      </c>
      <c r="H12" s="70"/>
      <c r="I12" s="55">
        <f t="shared" si="3"/>
        <v>0.08</v>
      </c>
      <c r="J12" s="56"/>
      <c r="K12" s="56"/>
      <c r="L12" s="56"/>
      <c r="M12" s="56"/>
      <c r="N12" s="56"/>
      <c r="O12" s="56"/>
      <c r="P12" s="56"/>
      <c r="Q12" s="56"/>
      <c r="R12" s="56"/>
      <c r="S12" s="56"/>
      <c r="T12" s="56"/>
      <c r="U12" s="56"/>
      <c r="V12" s="57"/>
      <c r="W12" s="57"/>
      <c r="X12" s="57"/>
      <c r="Y12" s="57"/>
      <c r="Z12" s="57"/>
      <c r="AA12" s="57">
        <v>0.004</v>
      </c>
      <c r="AB12" s="60">
        <f>28/31</f>
        <v>0.9032258064516129</v>
      </c>
      <c r="AC12" s="60"/>
    </row>
    <row r="13" spans="1:29" s="53" customFormat="1" ht="15.75">
      <c r="A13" s="72" t="s">
        <v>73</v>
      </c>
      <c r="B13" s="73"/>
      <c r="C13" s="73"/>
      <c r="D13" s="74" t="str">
        <f t="shared" si="0"/>
        <v> </v>
      </c>
      <c r="E13" s="119">
        <f>SUM(E14:E20)</f>
        <v>7.331633333333333</v>
      </c>
      <c r="F13" s="120">
        <f t="shared" si="1"/>
        <v>0.17548318019177145</v>
      </c>
      <c r="G13" s="121">
        <f>SUM(G14:G20)</f>
        <v>8.618211666666664</v>
      </c>
      <c r="H13" s="61"/>
      <c r="I13" s="75"/>
      <c r="J13" s="51"/>
      <c r="K13" s="51"/>
      <c r="L13" s="51"/>
      <c r="M13" s="51"/>
      <c r="N13" s="51"/>
      <c r="O13" s="51"/>
      <c r="P13" s="51"/>
      <c r="Q13" s="51"/>
      <c r="R13" s="51"/>
      <c r="S13" s="51"/>
      <c r="T13" s="51"/>
      <c r="U13" s="51"/>
      <c r="V13" s="51"/>
      <c r="W13" s="51"/>
      <c r="X13" s="51"/>
      <c r="Y13" s="51"/>
      <c r="Z13" s="51"/>
      <c r="AA13" s="51"/>
      <c r="AB13" s="52"/>
      <c r="AC13" s="52"/>
    </row>
    <row r="14" spans="1:29" ht="12.75">
      <c r="A14" s="64" t="s">
        <v>74</v>
      </c>
      <c r="B14" s="76" t="s">
        <v>13</v>
      </c>
      <c r="C14" s="30" t="s">
        <v>64</v>
      </c>
      <c r="D14" s="77">
        <f t="shared" si="0"/>
        <v>0.15</v>
      </c>
      <c r="E14" s="70">
        <f aca="true" t="shared" si="4" ref="E14:E20">I14</f>
        <v>1.567</v>
      </c>
      <c r="F14" s="68">
        <f>D14</f>
        <v>0.15</v>
      </c>
      <c r="G14" s="118">
        <f>E14*(1+F14)</f>
        <v>1.8020499999999997</v>
      </c>
      <c r="H14" s="70"/>
      <c r="I14" s="55">
        <f aca="true" t="shared" si="5" ref="I14:I20">J14*J$22+K14*K$22+L14*L$22+M14*M$22+N14*N$22+O14*O$22+P14*P$22+Q14*Q$22+R14*R$22+S14*S$22+T14*T$22+U14*U$22+V14*V$22+W14*W$22+X14*X$22+Y14*Y$22+Z14*Z$22+AA14*AA$22</f>
        <v>1.567</v>
      </c>
      <c r="J14" s="78">
        <v>0.01</v>
      </c>
      <c r="K14" s="57">
        <v>0.25</v>
      </c>
      <c r="L14" s="57">
        <v>0.09</v>
      </c>
      <c r="M14" s="57">
        <v>0.04</v>
      </c>
      <c r="N14" s="57">
        <v>0.05</v>
      </c>
      <c r="O14" s="57"/>
      <c r="P14" s="57"/>
      <c r="Q14" s="57">
        <v>0.0165</v>
      </c>
      <c r="R14" s="57">
        <v>0.0105</v>
      </c>
      <c r="S14" s="57"/>
      <c r="T14" s="57"/>
      <c r="U14" s="57"/>
      <c r="V14" s="57"/>
      <c r="W14" s="57"/>
      <c r="X14" s="57"/>
      <c r="Y14" s="57"/>
      <c r="Z14" s="57"/>
      <c r="AA14" s="57"/>
      <c r="AB14" s="58"/>
      <c r="AC14" s="58"/>
    </row>
    <row r="15" spans="1:29" ht="12.75">
      <c r="A15" s="64" t="s">
        <v>86</v>
      </c>
      <c r="B15" s="54"/>
      <c r="C15" s="30" t="s">
        <v>65</v>
      </c>
      <c r="D15" s="59">
        <f t="shared" si="0"/>
        <v>0.25</v>
      </c>
      <c r="E15" s="70">
        <f>I15</f>
        <v>0.36000000000000004</v>
      </c>
      <c r="F15" s="68">
        <f aca="true" t="shared" si="6" ref="F15:F20">D15</f>
        <v>0.25</v>
      </c>
      <c r="G15" s="118">
        <f aca="true" t="shared" si="7" ref="G15:G20">E15*(1+F15)</f>
        <v>0.45000000000000007</v>
      </c>
      <c r="H15" s="70"/>
      <c r="I15" s="55">
        <f t="shared" si="5"/>
        <v>0.36000000000000004</v>
      </c>
      <c r="J15" s="78"/>
      <c r="K15" s="57"/>
      <c r="L15" s="57"/>
      <c r="M15" s="57"/>
      <c r="N15" s="57"/>
      <c r="O15" s="57"/>
      <c r="P15" s="57"/>
      <c r="Q15" s="57">
        <f>0.006*3</f>
        <v>0.018000000000000002</v>
      </c>
      <c r="R15" s="57">
        <f>Q15</f>
        <v>0.018000000000000002</v>
      </c>
      <c r="S15" s="57"/>
      <c r="T15" s="57"/>
      <c r="U15" s="57"/>
      <c r="V15" s="57"/>
      <c r="W15" s="57"/>
      <c r="X15" s="57"/>
      <c r="Y15" s="57"/>
      <c r="Z15" s="57"/>
      <c r="AA15" s="57"/>
      <c r="AB15" s="58"/>
      <c r="AC15" s="58"/>
    </row>
    <row r="16" spans="1:29" ht="12.75">
      <c r="A16" s="64" t="s">
        <v>75</v>
      </c>
      <c r="B16" s="65" t="s">
        <v>13</v>
      </c>
      <c r="C16" s="30" t="s">
        <v>64</v>
      </c>
      <c r="D16" s="59">
        <f t="shared" si="0"/>
        <v>0.15</v>
      </c>
      <c r="E16" s="67">
        <f t="shared" si="4"/>
        <v>0.9845000000000003</v>
      </c>
      <c r="F16" s="68">
        <f t="shared" si="6"/>
        <v>0.15</v>
      </c>
      <c r="G16" s="118">
        <f t="shared" si="7"/>
        <v>1.1321750000000002</v>
      </c>
      <c r="H16" s="70"/>
      <c r="I16" s="55">
        <f t="shared" si="5"/>
        <v>0.9845000000000003</v>
      </c>
      <c r="J16" s="78">
        <v>0.0057</v>
      </c>
      <c r="K16" s="57">
        <v>0.033</v>
      </c>
      <c r="L16" s="57"/>
      <c r="M16" s="57"/>
      <c r="N16" s="57"/>
      <c r="O16" s="57"/>
      <c r="P16" s="57"/>
      <c r="Q16" s="57">
        <v>0.026</v>
      </c>
      <c r="R16" s="57">
        <v>0.015</v>
      </c>
      <c r="S16" s="57"/>
      <c r="T16" s="57">
        <f>0.001*0.6</f>
        <v>0.0006</v>
      </c>
      <c r="U16" s="57">
        <f>0.001*0.6</f>
        <v>0.0006</v>
      </c>
      <c r="V16" s="57">
        <v>0.002</v>
      </c>
      <c r="W16" s="57">
        <v>0.002</v>
      </c>
      <c r="X16" s="57">
        <v>0.002</v>
      </c>
      <c r="Y16" s="57">
        <v>0.002</v>
      </c>
      <c r="Z16" s="57">
        <v>0.002</v>
      </c>
      <c r="AA16" s="57">
        <v>0.002</v>
      </c>
      <c r="AB16" s="58"/>
      <c r="AC16" s="58"/>
    </row>
    <row r="17" spans="1:29" ht="12.75">
      <c r="A17" s="64" t="s">
        <v>76</v>
      </c>
      <c r="B17" s="65" t="s">
        <v>13</v>
      </c>
      <c r="C17" s="30" t="s">
        <v>64</v>
      </c>
      <c r="D17" s="59">
        <f t="shared" si="0"/>
        <v>0.15</v>
      </c>
      <c r="E17" s="67">
        <f t="shared" si="4"/>
        <v>0.4875</v>
      </c>
      <c r="F17" s="68">
        <f t="shared" si="6"/>
        <v>0.15</v>
      </c>
      <c r="G17" s="118">
        <f t="shared" si="7"/>
        <v>0.5606249999999999</v>
      </c>
      <c r="H17" s="70"/>
      <c r="I17" s="55">
        <f t="shared" si="5"/>
        <v>0.4875</v>
      </c>
      <c r="J17" s="78"/>
      <c r="K17" s="57"/>
      <c r="L17" s="57"/>
      <c r="M17" s="57">
        <v>0.0025</v>
      </c>
      <c r="N17" s="57">
        <v>0.005</v>
      </c>
      <c r="O17" s="57"/>
      <c r="P17" s="57"/>
      <c r="Q17" s="57">
        <v>0.025</v>
      </c>
      <c r="R17" s="57">
        <v>0.02</v>
      </c>
      <c r="S17" s="57"/>
      <c r="T17" s="57"/>
      <c r="U17" s="57"/>
      <c r="V17" s="57"/>
      <c r="W17" s="57"/>
      <c r="X17" s="57"/>
      <c r="Y17" s="57"/>
      <c r="Z17" s="57"/>
      <c r="AA17" s="57"/>
      <c r="AB17" s="58"/>
      <c r="AC17" s="58"/>
    </row>
    <row r="18" spans="1:29" ht="12.75">
      <c r="A18" s="64" t="s">
        <v>85</v>
      </c>
      <c r="B18" s="65"/>
      <c r="C18" s="66" t="s">
        <v>65</v>
      </c>
      <c r="D18" s="59">
        <f t="shared" si="0"/>
        <v>0.25</v>
      </c>
      <c r="E18" s="67">
        <f t="shared" si="4"/>
        <v>0.45</v>
      </c>
      <c r="F18" s="68">
        <f t="shared" si="6"/>
        <v>0.25</v>
      </c>
      <c r="G18" s="118">
        <f t="shared" si="7"/>
        <v>0.5625</v>
      </c>
      <c r="H18" s="70"/>
      <c r="I18" s="55">
        <f t="shared" si="5"/>
        <v>0.45</v>
      </c>
      <c r="J18" s="78"/>
      <c r="K18" s="57"/>
      <c r="L18" s="57">
        <f>0.45/3.3</f>
        <v>0.13636363636363638</v>
      </c>
      <c r="M18" s="57"/>
      <c r="N18" s="57"/>
      <c r="O18" s="57"/>
      <c r="P18" s="57"/>
      <c r="Q18" s="57"/>
      <c r="R18" s="57"/>
      <c r="S18" s="57"/>
      <c r="T18" s="57"/>
      <c r="U18" s="57"/>
      <c r="V18" s="57"/>
      <c r="W18" s="57"/>
      <c r="X18" s="57"/>
      <c r="Y18" s="57"/>
      <c r="Z18" s="57"/>
      <c r="AA18" s="57"/>
      <c r="AB18" s="58"/>
      <c r="AC18" s="58"/>
    </row>
    <row r="19" spans="1:29" ht="12.75">
      <c r="A19" s="64" t="s">
        <v>77</v>
      </c>
      <c r="B19" s="65"/>
      <c r="C19" s="66" t="s">
        <v>65</v>
      </c>
      <c r="D19" s="59">
        <f t="shared" si="0"/>
        <v>0.25</v>
      </c>
      <c r="E19" s="67">
        <f t="shared" si="4"/>
        <v>1.0583333333333331</v>
      </c>
      <c r="F19" s="68">
        <f t="shared" si="6"/>
        <v>0.25</v>
      </c>
      <c r="G19" s="118">
        <f t="shared" si="7"/>
        <v>1.3229166666666665</v>
      </c>
      <c r="H19" s="70"/>
      <c r="I19" s="55">
        <f t="shared" si="5"/>
        <v>1.0583333333333331</v>
      </c>
      <c r="J19" s="78">
        <f>0.1</f>
        <v>0.1</v>
      </c>
      <c r="K19" s="57">
        <f>0.25/1.5</f>
        <v>0.16666666666666666</v>
      </c>
      <c r="L19" s="57"/>
      <c r="M19" s="57">
        <v>0.016</v>
      </c>
      <c r="N19" s="57">
        <v>0.025</v>
      </c>
      <c r="O19" s="57"/>
      <c r="P19" s="57"/>
      <c r="Q19" s="57">
        <v>0.001</v>
      </c>
      <c r="R19" s="57">
        <v>0.001</v>
      </c>
      <c r="S19" s="57"/>
      <c r="T19" s="57"/>
      <c r="U19" s="57"/>
      <c r="V19" s="57"/>
      <c r="W19" s="57"/>
      <c r="X19" s="57"/>
      <c r="Y19" s="57"/>
      <c r="Z19" s="57"/>
      <c r="AA19" s="57"/>
      <c r="AB19" s="58"/>
      <c r="AC19" s="58"/>
    </row>
    <row r="20" spans="1:29" ht="12.75">
      <c r="A20" s="80" t="s">
        <v>78</v>
      </c>
      <c r="B20" s="81" t="s">
        <v>13</v>
      </c>
      <c r="C20" s="82" t="s">
        <v>64</v>
      </c>
      <c r="D20" s="83">
        <f t="shared" si="0"/>
        <v>0.15</v>
      </c>
      <c r="E20" s="84">
        <f t="shared" si="4"/>
        <v>2.4242999999999983</v>
      </c>
      <c r="F20" s="135">
        <f t="shared" si="6"/>
        <v>0.15</v>
      </c>
      <c r="G20" s="136">
        <f t="shared" si="7"/>
        <v>2.787944999999998</v>
      </c>
      <c r="H20" s="70"/>
      <c r="I20" s="55">
        <f t="shared" si="5"/>
        <v>2.4242999999999983</v>
      </c>
      <c r="J20" s="85">
        <f>SUM(J6:J19)*$L$25</f>
        <v>0.052065</v>
      </c>
      <c r="K20" s="85">
        <f aca="true" t="shared" si="8" ref="K20:AA20">SUM(K6:K19)*$L$25</f>
        <v>0.20235</v>
      </c>
      <c r="L20" s="86">
        <f t="shared" si="8"/>
        <v>0.10186363636363638</v>
      </c>
      <c r="M20" s="86">
        <f t="shared" si="8"/>
        <v>0.026325</v>
      </c>
      <c r="N20" s="86">
        <f t="shared" si="8"/>
        <v>0.036000000000000004</v>
      </c>
      <c r="O20" s="86">
        <f t="shared" si="8"/>
        <v>0</v>
      </c>
      <c r="P20" s="86">
        <f t="shared" si="8"/>
        <v>0</v>
      </c>
      <c r="Q20" s="86">
        <f t="shared" si="8"/>
        <v>0.038925</v>
      </c>
      <c r="R20" s="86">
        <f t="shared" si="8"/>
        <v>0.029025000000000002</v>
      </c>
      <c r="S20" s="86">
        <f t="shared" si="8"/>
        <v>0</v>
      </c>
      <c r="T20" s="86">
        <f t="shared" si="8"/>
        <v>0.00027</v>
      </c>
      <c r="U20" s="86">
        <f t="shared" si="8"/>
        <v>0.00027</v>
      </c>
      <c r="V20" s="86">
        <f t="shared" si="8"/>
        <v>0.0027</v>
      </c>
      <c r="W20" s="86">
        <f t="shared" si="8"/>
        <v>0.0027</v>
      </c>
      <c r="X20" s="86">
        <f t="shared" si="8"/>
        <v>0.0027</v>
      </c>
      <c r="Y20" s="86">
        <f t="shared" si="8"/>
        <v>0.0027</v>
      </c>
      <c r="Z20" s="86">
        <f t="shared" si="8"/>
        <v>0.0027</v>
      </c>
      <c r="AA20" s="86">
        <f t="shared" si="8"/>
        <v>0.0027</v>
      </c>
      <c r="AB20" s="87"/>
      <c r="AC20" s="87"/>
    </row>
    <row r="21" spans="1:29" ht="12.75">
      <c r="A21" s="88"/>
      <c r="B21" s="39"/>
      <c r="C21" s="66"/>
      <c r="D21" s="59"/>
      <c r="E21" s="67"/>
      <c r="F21" s="68"/>
      <c r="G21" s="69"/>
      <c r="H21" s="70"/>
      <c r="I21" s="24"/>
      <c r="J21" s="89"/>
      <c r="K21" s="89"/>
      <c r="L21" s="89"/>
      <c r="M21" s="89"/>
      <c r="N21" s="89"/>
      <c r="O21" s="89"/>
      <c r="P21" s="89"/>
      <c r="Q21" s="89"/>
      <c r="R21" s="89"/>
      <c r="S21" s="89"/>
      <c r="T21" s="89"/>
      <c r="U21" s="89"/>
      <c r="V21" s="89"/>
      <c r="W21" s="89"/>
      <c r="X21" s="89"/>
      <c r="Y21" s="89"/>
      <c r="Z21" s="89"/>
      <c r="AA21" s="89"/>
      <c r="AB21" s="90"/>
      <c r="AC21" s="90"/>
    </row>
    <row r="22" spans="1:29" s="53" customFormat="1" ht="16.5" thickBot="1">
      <c r="A22" s="91" t="s">
        <v>79</v>
      </c>
      <c r="B22" s="92"/>
      <c r="C22" s="92"/>
      <c r="D22" s="93"/>
      <c r="E22" s="122">
        <f>SUM(E13+E6)</f>
        <v>7.811633333333333</v>
      </c>
      <c r="F22" s="122">
        <f>SUM(F13+F6)</f>
        <v>0.42548318019177134</v>
      </c>
      <c r="G22" s="122">
        <f>SUM(G13+G6)</f>
        <v>9.218211666666663</v>
      </c>
      <c r="H22" s="94"/>
      <c r="I22" s="95">
        <f>SUM(I6:I12)+SUM(I14:I20)</f>
        <v>7.811633333333333</v>
      </c>
      <c r="J22" s="96">
        <v>5</v>
      </c>
      <c r="K22" s="97">
        <v>2</v>
      </c>
      <c r="L22" s="97">
        <v>3.3</v>
      </c>
      <c r="M22" s="97">
        <v>5</v>
      </c>
      <c r="N22" s="97">
        <v>5</v>
      </c>
      <c r="O22" s="97">
        <v>8</v>
      </c>
      <c r="P22" s="97">
        <v>8</v>
      </c>
      <c r="Q22" s="97">
        <v>10</v>
      </c>
      <c r="R22" s="97">
        <v>10</v>
      </c>
      <c r="S22" s="97">
        <v>28</v>
      </c>
      <c r="T22" s="97">
        <v>200</v>
      </c>
      <c r="U22" s="97">
        <v>200</v>
      </c>
      <c r="V22" s="97">
        <v>20</v>
      </c>
      <c r="W22" s="97">
        <v>20</v>
      </c>
      <c r="X22" s="97">
        <v>20</v>
      </c>
      <c r="Y22" s="97">
        <v>20</v>
      </c>
      <c r="Z22" s="97">
        <v>20</v>
      </c>
      <c r="AA22" s="97">
        <v>20</v>
      </c>
      <c r="AB22" s="98" t="s">
        <v>80</v>
      </c>
      <c r="AC22" s="99"/>
    </row>
    <row r="23" spans="1:29" s="53" customFormat="1" ht="15.75">
      <c r="A23" s="100"/>
      <c r="B23" s="63"/>
      <c r="C23" s="101"/>
      <c r="D23" s="101"/>
      <c r="E23" s="63"/>
      <c r="F23" s="102"/>
      <c r="G23" s="94"/>
      <c r="H23" s="94"/>
      <c r="I23" s="103"/>
      <c r="J23" s="104">
        <f>SUM(J6:J12)+SUM(J14:J19)</f>
        <v>0.1157</v>
      </c>
      <c r="K23" s="104">
        <f aca="true" t="shared" si="9" ref="K23:AA23">SUM(K6:K12)+SUM(K14:K19)</f>
        <v>0.44966666666666666</v>
      </c>
      <c r="L23" s="104">
        <f t="shared" si="9"/>
        <v>0.22636363636363638</v>
      </c>
      <c r="M23" s="104">
        <f t="shared" si="9"/>
        <v>0.0585</v>
      </c>
      <c r="N23" s="104">
        <f t="shared" si="9"/>
        <v>0.08</v>
      </c>
      <c r="O23" s="104">
        <f t="shared" si="9"/>
        <v>0</v>
      </c>
      <c r="P23" s="104">
        <f t="shared" si="9"/>
        <v>0</v>
      </c>
      <c r="Q23" s="104">
        <f t="shared" si="9"/>
        <v>0.0865</v>
      </c>
      <c r="R23" s="104">
        <f t="shared" si="9"/>
        <v>0.0645</v>
      </c>
      <c r="S23" s="104">
        <f t="shared" si="9"/>
        <v>0</v>
      </c>
      <c r="T23" s="104">
        <f t="shared" si="9"/>
        <v>0.0006</v>
      </c>
      <c r="U23" s="104">
        <f t="shared" si="9"/>
        <v>0.0006</v>
      </c>
      <c r="V23" s="104">
        <f t="shared" si="9"/>
        <v>0.006</v>
      </c>
      <c r="W23" s="104">
        <f t="shared" si="9"/>
        <v>0.006</v>
      </c>
      <c r="X23" s="104">
        <f t="shared" si="9"/>
        <v>0.006</v>
      </c>
      <c r="Y23" s="104">
        <f t="shared" si="9"/>
        <v>0.006</v>
      </c>
      <c r="Z23" s="104">
        <f t="shared" si="9"/>
        <v>0.006</v>
      </c>
      <c r="AA23" s="104">
        <f t="shared" si="9"/>
        <v>0.006</v>
      </c>
      <c r="AB23" s="98" t="s">
        <v>81</v>
      </c>
      <c r="AC23" s="99"/>
    </row>
    <row r="24" spans="1:29" s="53" customFormat="1" ht="15.75">
      <c r="A24"/>
      <c r="B24" s="66"/>
      <c r="H24" s="105"/>
      <c r="I24" s="106"/>
      <c r="J24" s="107">
        <f aca="true" t="shared" si="10" ref="J24:AA24">J22*J23</f>
        <v>0.5785</v>
      </c>
      <c r="K24" s="107">
        <f t="shared" si="10"/>
        <v>0.8993333333333333</v>
      </c>
      <c r="L24" s="108">
        <f t="shared" si="10"/>
        <v>0.747</v>
      </c>
      <c r="M24" s="108">
        <f t="shared" si="10"/>
        <v>0.29250000000000004</v>
      </c>
      <c r="N24" s="108">
        <f t="shared" si="10"/>
        <v>0.4</v>
      </c>
      <c r="O24" s="108">
        <f t="shared" si="10"/>
        <v>0</v>
      </c>
      <c r="P24" s="108">
        <f t="shared" si="10"/>
        <v>0</v>
      </c>
      <c r="Q24" s="108">
        <f t="shared" si="10"/>
        <v>0.865</v>
      </c>
      <c r="R24" s="108">
        <f t="shared" si="10"/>
        <v>0.645</v>
      </c>
      <c r="S24" s="108">
        <f t="shared" si="10"/>
        <v>0</v>
      </c>
      <c r="T24" s="108">
        <f t="shared" si="10"/>
        <v>0.12</v>
      </c>
      <c r="U24" s="108">
        <f t="shared" si="10"/>
        <v>0.12</v>
      </c>
      <c r="V24" s="108">
        <f t="shared" si="10"/>
        <v>0.12</v>
      </c>
      <c r="W24" s="108">
        <f t="shared" si="10"/>
        <v>0.12</v>
      </c>
      <c r="X24" s="108">
        <f t="shared" si="10"/>
        <v>0.12</v>
      </c>
      <c r="Y24" s="108">
        <f t="shared" si="10"/>
        <v>0.12</v>
      </c>
      <c r="Z24" s="108">
        <f t="shared" si="10"/>
        <v>0.12</v>
      </c>
      <c r="AA24" s="108">
        <f t="shared" si="10"/>
        <v>0.12</v>
      </c>
      <c r="AB24" s="109" t="s">
        <v>4</v>
      </c>
      <c r="AC24" s="110"/>
    </row>
    <row r="25" spans="1:29" s="53" customFormat="1" ht="15">
      <c r="A25"/>
      <c r="B25" s="39"/>
      <c r="C25" s="63"/>
      <c r="D25" s="63"/>
      <c r="E25" s="112"/>
      <c r="F25" s="112"/>
      <c r="G25" s="112"/>
      <c r="H25" s="94"/>
      <c r="I25" s="1" t="s">
        <v>82</v>
      </c>
      <c r="L25" s="112">
        <v>0.45</v>
      </c>
      <c r="M25" s="113"/>
      <c r="AC25" s="71"/>
    </row>
    <row r="26" spans="2:7" ht="12.75">
      <c r="B26" s="39"/>
      <c r="C26" s="65"/>
      <c r="D26" s="114"/>
      <c r="E26" s="115"/>
      <c r="F26" s="70"/>
      <c r="G26" s="116"/>
    </row>
    <row r="27" spans="1:28" ht="25.5">
      <c r="A27" s="133" t="s">
        <v>107</v>
      </c>
      <c r="B27" s="134" t="s">
        <v>108</v>
      </c>
      <c r="C27" s="134" t="s">
        <v>112</v>
      </c>
      <c r="D27" s="418" t="s">
        <v>101</v>
      </c>
      <c r="E27" s="390"/>
      <c r="F27" s="390"/>
      <c r="G27" s="390"/>
      <c r="H27" s="390"/>
      <c r="I27" s="117"/>
      <c r="M27" s="1"/>
      <c r="N27" s="1"/>
      <c r="AB27" s="111"/>
    </row>
    <row r="28" spans="1:9" ht="12.75">
      <c r="A28" s="20" t="s">
        <v>96</v>
      </c>
      <c r="B28" s="21">
        <f>G22</f>
        <v>9.218211666666663</v>
      </c>
      <c r="C28" s="131">
        <f>G22/22</f>
        <v>0.41900962121212104</v>
      </c>
      <c r="D28" s="450" t="s">
        <v>97</v>
      </c>
      <c r="E28" s="450"/>
      <c r="F28" s="450"/>
      <c r="G28" s="450"/>
      <c r="H28" s="450"/>
      <c r="I28"/>
    </row>
    <row r="29" spans="1:21" ht="12.75">
      <c r="A29" s="132" t="s">
        <v>98</v>
      </c>
      <c r="B29" s="21">
        <f>B28/2</f>
        <v>4.609105833333332</v>
      </c>
      <c r="C29" s="131">
        <f>35/F39</f>
        <v>0.333303107782369</v>
      </c>
      <c r="D29" s="449" t="s">
        <v>114</v>
      </c>
      <c r="E29" s="450"/>
      <c r="F29" s="450"/>
      <c r="G29" s="450"/>
      <c r="H29" s="450"/>
      <c r="U29" s="113"/>
    </row>
    <row r="30" spans="1:9" ht="12.75">
      <c r="A30" s="132" t="s">
        <v>99</v>
      </c>
      <c r="B30" s="21">
        <f>C38</f>
        <v>0.3372727272727272</v>
      </c>
      <c r="C30" s="21">
        <f>MAX(C36:C38)</f>
        <v>2</v>
      </c>
      <c r="D30" s="449" t="s">
        <v>115</v>
      </c>
      <c r="E30" s="450"/>
      <c r="F30" s="450"/>
      <c r="G30" s="450"/>
      <c r="H30" s="450"/>
      <c r="I30" s="79"/>
    </row>
    <row r="31" spans="1:13" ht="12.75">
      <c r="A31" s="132" t="s">
        <v>100</v>
      </c>
      <c r="B31" s="21">
        <f>C38/2</f>
        <v>0.1686363636363636</v>
      </c>
      <c r="C31" s="21">
        <f>MAX(C36:C38)</f>
        <v>2</v>
      </c>
      <c r="D31" s="449" t="s">
        <v>116</v>
      </c>
      <c r="E31" s="450"/>
      <c r="F31" s="450"/>
      <c r="G31" s="450"/>
      <c r="H31" s="450"/>
      <c r="I31" s="79"/>
      <c r="M31" s="39"/>
    </row>
    <row r="32" ht="12.75">
      <c r="M32" s="39"/>
    </row>
    <row r="33" spans="1:3" ht="12.75">
      <c r="A33" s="113" t="s">
        <v>103</v>
      </c>
      <c r="B33" s="39">
        <v>22</v>
      </c>
      <c r="C33" s="79" t="s">
        <v>105</v>
      </c>
    </row>
    <row r="34" spans="1:3" ht="12.75">
      <c r="A34" s="113" t="s">
        <v>104</v>
      </c>
      <c r="B34">
        <v>35</v>
      </c>
      <c r="C34" t="s">
        <v>105</v>
      </c>
    </row>
    <row r="35" spans="1:3" ht="12.75">
      <c r="A35" s="113"/>
      <c r="C35"/>
    </row>
    <row r="36" spans="1:7" ht="12.75">
      <c r="A36" t="s">
        <v>106</v>
      </c>
      <c r="B36" s="2"/>
      <c r="C36" s="130">
        <f>B34/F36</f>
        <v>1.1290322580645162</v>
      </c>
      <c r="D36" s="127" t="s">
        <v>111</v>
      </c>
      <c r="F36" s="129">
        <v>31</v>
      </c>
      <c r="G36" s="113" t="s">
        <v>102</v>
      </c>
    </row>
    <row r="37" spans="1:13" ht="12.75">
      <c r="A37" s="79" t="s">
        <v>110</v>
      </c>
      <c r="B37" s="2"/>
      <c r="C37" s="128">
        <v>2</v>
      </c>
      <c r="D37" s="127" t="s">
        <v>111</v>
      </c>
      <c r="E37" s="113"/>
      <c r="F37" s="129">
        <f>B34/C37</f>
        <v>17.5</v>
      </c>
      <c r="G37" s="113" t="s">
        <v>102</v>
      </c>
      <c r="M37" s="39"/>
    </row>
    <row r="38" spans="1:13" ht="12.75">
      <c r="A38" s="79" t="s">
        <v>109</v>
      </c>
      <c r="B38" s="124"/>
      <c r="C38" s="128">
        <f>B34/F38</f>
        <v>0.3372727272727272</v>
      </c>
      <c r="D38" s="127" t="s">
        <v>111</v>
      </c>
      <c r="E38" s="113"/>
      <c r="F38" s="126">
        <f>22/0.212</f>
        <v>103.77358490566039</v>
      </c>
      <c r="G38" s="113" t="s">
        <v>102</v>
      </c>
      <c r="M38" s="39"/>
    </row>
    <row r="39" spans="1:14" ht="12.75">
      <c r="A39" s="79" t="s">
        <v>113</v>
      </c>
      <c r="C39" s="125">
        <f>B34/F39</f>
        <v>0.333303107782369</v>
      </c>
      <c r="D39" s="127" t="s">
        <v>111</v>
      </c>
      <c r="E39" s="113"/>
      <c r="F39" s="126">
        <f>22/(G22/2/22)</f>
        <v>105.00952191196887</v>
      </c>
      <c r="G39" s="113" t="s">
        <v>102</v>
      </c>
      <c r="M39" s="1"/>
      <c r="N39" s="1"/>
    </row>
    <row r="42" ht="12.75">
      <c r="I42" s="79"/>
    </row>
  </sheetData>
  <mergeCells count="10">
    <mergeCell ref="A3:A5"/>
    <mergeCell ref="E3:G4"/>
    <mergeCell ref="B3:D4"/>
    <mergeCell ref="J3:AC4"/>
    <mergeCell ref="I3:I4"/>
    <mergeCell ref="D31:H31"/>
    <mergeCell ref="D27:H27"/>
    <mergeCell ref="D28:H28"/>
    <mergeCell ref="D29:H29"/>
    <mergeCell ref="D30:H30"/>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8">
      <c r="A1" s="36" t="s">
        <v>83</v>
      </c>
    </row>
  </sheetData>
  <printOptions/>
  <pageMargins left="0.25" right="0.25" top="0.25" bottom="0.25" header="0.5" footer="0.5"/>
  <pageSetup fitToHeight="1" fitToWidth="1" horizontalDpi="600" verticalDpi="600" orientation="landscape" paperSize="17" r:id="rId2"/>
  <headerFooter alignWithMargins="0">
    <oddFooter>&amp;L&amp;D &amp;T&amp;R&amp;F &amp;A</oddFooter>
  </headerFooter>
  <drawing r:id="rId1"/>
</worksheet>
</file>

<file path=xl/worksheets/sheet38.xml><?xml version="1.0" encoding="utf-8"?>
<worksheet xmlns="http://schemas.openxmlformats.org/spreadsheetml/2006/main" xmlns:r="http://schemas.openxmlformats.org/officeDocument/2006/relationships">
  <dimension ref="A1:AB23"/>
  <sheetViews>
    <sheetView workbookViewId="0" topLeftCell="A1">
      <selection activeCell="J25" sqref="J25"/>
    </sheetView>
  </sheetViews>
  <sheetFormatPr defaultColWidth="9.140625" defaultRowHeight="12.75"/>
  <cols>
    <col min="1" max="1" width="24.28125" style="0" bestFit="1" customWidth="1"/>
    <col min="2" max="2" width="12.7109375" style="0" bestFit="1" customWidth="1"/>
    <col min="3" max="3" width="9.00390625" style="189" bestFit="1" customWidth="1"/>
    <col min="4" max="4" width="9.00390625" style="0" bestFit="1" customWidth="1"/>
    <col min="5" max="5" width="1.421875" style="0" bestFit="1" customWidth="1"/>
    <col min="6" max="6" width="5.57421875" style="0" bestFit="1" customWidth="1"/>
    <col min="7" max="7" width="6.57421875" style="0" bestFit="1" customWidth="1"/>
    <col min="8" max="8" width="1.421875" style="0" bestFit="1" customWidth="1"/>
    <col min="9" max="9" width="5.57421875" style="0" bestFit="1" customWidth="1"/>
    <col min="10" max="10" width="6.57421875" style="0" bestFit="1" customWidth="1"/>
    <col min="11" max="11" width="1.421875" style="0" bestFit="1" customWidth="1"/>
    <col min="12" max="13" width="6.57421875" style="0" bestFit="1" customWidth="1"/>
    <col min="14" max="14" width="1.421875" style="0" bestFit="1" customWidth="1"/>
    <col min="15" max="15" width="5.57421875" style="0" bestFit="1" customWidth="1"/>
    <col min="16" max="16" width="6.57421875" style="0" bestFit="1" customWidth="1"/>
    <col min="17" max="17" width="1.421875" style="0" bestFit="1" customWidth="1"/>
    <col min="18" max="19" width="6.57421875" style="0" bestFit="1" customWidth="1"/>
    <col min="20" max="20" width="1.421875" style="0" bestFit="1" customWidth="1"/>
    <col min="21" max="21" width="1.421875" style="0" customWidth="1"/>
    <col min="22" max="23" width="6.57421875" style="0" bestFit="1" customWidth="1"/>
    <col min="24" max="24" width="1.421875" style="0" bestFit="1" customWidth="1"/>
    <col min="25" max="26" width="6.57421875" style="0" bestFit="1" customWidth="1"/>
    <col min="27" max="27" width="1.421875" style="0" bestFit="1" customWidth="1"/>
    <col min="28" max="28" width="7.57421875" style="0" bestFit="1" customWidth="1"/>
  </cols>
  <sheetData>
    <row r="1" ht="12.75">
      <c r="A1" t="s">
        <v>134</v>
      </c>
    </row>
    <row r="2" spans="1:28" s="189" customFormat="1" ht="12.75">
      <c r="A2" s="189" t="s">
        <v>135</v>
      </c>
      <c r="C2" s="189" t="s">
        <v>136</v>
      </c>
      <c r="D2" s="189" t="s">
        <v>136</v>
      </c>
      <c r="E2" s="190" t="s">
        <v>137</v>
      </c>
      <c r="F2" s="391" t="s">
        <v>138</v>
      </c>
      <c r="G2" s="391"/>
      <c r="H2" s="190" t="s">
        <v>137</v>
      </c>
      <c r="I2" s="391" t="s">
        <v>139</v>
      </c>
      <c r="J2" s="391"/>
      <c r="K2" s="190" t="s">
        <v>137</v>
      </c>
      <c r="L2" s="391" t="s">
        <v>140</v>
      </c>
      <c r="M2" s="391"/>
      <c r="N2" s="190" t="s">
        <v>137</v>
      </c>
      <c r="O2" s="391" t="s">
        <v>141</v>
      </c>
      <c r="P2" s="391"/>
      <c r="Q2" s="190" t="s">
        <v>137</v>
      </c>
      <c r="R2" s="391" t="s">
        <v>142</v>
      </c>
      <c r="S2" s="391"/>
      <c r="T2" s="190" t="s">
        <v>137</v>
      </c>
      <c r="U2" s="190"/>
      <c r="V2" s="391" t="s">
        <v>143</v>
      </c>
      <c r="W2" s="391"/>
      <c r="X2" s="190" t="s">
        <v>137</v>
      </c>
      <c r="Y2" s="391" t="s">
        <v>144</v>
      </c>
      <c r="Z2" s="391"/>
      <c r="AA2" s="190" t="s">
        <v>137</v>
      </c>
      <c r="AB2" s="191" t="s">
        <v>2</v>
      </c>
    </row>
    <row r="3" spans="1:28" ht="12.75">
      <c r="A3">
        <v>0</v>
      </c>
      <c r="C3" s="189" t="s">
        <v>145</v>
      </c>
      <c r="D3" t="s">
        <v>146</v>
      </c>
      <c r="E3" s="192" t="s">
        <v>137</v>
      </c>
      <c r="F3" s="193" t="s">
        <v>146</v>
      </c>
      <c r="G3" s="193" t="s">
        <v>147</v>
      </c>
      <c r="H3" s="192" t="s">
        <v>137</v>
      </c>
      <c r="I3" s="193" t="s">
        <v>146</v>
      </c>
      <c r="J3" s="193" t="s">
        <v>147</v>
      </c>
      <c r="K3" s="192" t="s">
        <v>137</v>
      </c>
      <c r="L3" s="193" t="s">
        <v>146</v>
      </c>
      <c r="M3" s="193" t="s">
        <v>147</v>
      </c>
      <c r="N3" s="192" t="s">
        <v>137</v>
      </c>
      <c r="O3" s="193" t="s">
        <v>146</v>
      </c>
      <c r="P3" s="193" t="s">
        <v>147</v>
      </c>
      <c r="Q3" s="192" t="s">
        <v>137</v>
      </c>
      <c r="R3" s="193" t="s">
        <v>146</v>
      </c>
      <c r="S3" s="193" t="s">
        <v>147</v>
      </c>
      <c r="T3" s="192" t="s">
        <v>137</v>
      </c>
      <c r="U3" s="192"/>
      <c r="V3" s="193" t="s">
        <v>146</v>
      </c>
      <c r="W3" s="193" t="s">
        <v>147</v>
      </c>
      <c r="X3" s="192" t="s">
        <v>137</v>
      </c>
      <c r="Y3" s="193" t="s">
        <v>146</v>
      </c>
      <c r="Z3" s="193" t="s">
        <v>147</v>
      </c>
      <c r="AA3" s="192" t="s">
        <v>137</v>
      </c>
      <c r="AB3" s="16" t="s">
        <v>147</v>
      </c>
    </row>
    <row r="4" spans="1:28" ht="12.75">
      <c r="A4" s="1" t="s">
        <v>148</v>
      </c>
      <c r="D4" s="2"/>
      <c r="E4" s="194"/>
      <c r="F4" s="195"/>
      <c r="G4" s="196"/>
      <c r="H4" s="194"/>
      <c r="I4" s="195"/>
      <c r="J4" s="196"/>
      <c r="K4" s="194"/>
      <c r="L4" s="195"/>
      <c r="M4" s="196"/>
      <c r="N4" s="194"/>
      <c r="O4" s="195"/>
      <c r="P4" s="196"/>
      <c r="Q4" s="194"/>
      <c r="R4" s="195"/>
      <c r="S4" s="196"/>
      <c r="T4" s="194"/>
      <c r="U4" s="194"/>
      <c r="V4" s="195"/>
      <c r="W4" s="196"/>
      <c r="X4" s="194"/>
      <c r="Y4" s="195"/>
      <c r="Z4" s="196"/>
      <c r="AA4" s="194"/>
      <c r="AB4" s="196"/>
    </row>
    <row r="5" spans="1:28" ht="12.75">
      <c r="A5" t="s">
        <v>149</v>
      </c>
      <c r="B5" t="s">
        <v>150</v>
      </c>
      <c r="C5" s="189" t="s">
        <v>151</v>
      </c>
      <c r="D5" s="2">
        <v>0.4</v>
      </c>
      <c r="E5" s="192" t="s">
        <v>137</v>
      </c>
      <c r="F5" s="195">
        <v>1.2</v>
      </c>
      <c r="G5" s="196">
        <f aca="true" t="shared" si="0" ref="G5:G11">12*F5</f>
        <v>14.399999999999999</v>
      </c>
      <c r="H5" s="192" t="s">
        <v>137</v>
      </c>
      <c r="I5" s="195">
        <v>1.2</v>
      </c>
      <c r="J5" s="196">
        <f aca="true" t="shared" si="1" ref="J5:J11">12*I5</f>
        <v>14.399999999999999</v>
      </c>
      <c r="K5" s="192" t="s">
        <v>137</v>
      </c>
      <c r="L5" s="195"/>
      <c r="M5" s="196">
        <f aca="true" t="shared" si="2" ref="M5:M11">5*L5</f>
        <v>0</v>
      </c>
      <c r="N5" s="192" t="s">
        <v>137</v>
      </c>
      <c r="O5" s="195"/>
      <c r="P5" s="196">
        <f aca="true" t="shared" si="3" ref="P5:P11">5*O5</f>
        <v>0</v>
      </c>
      <c r="Q5" s="192" t="s">
        <v>137</v>
      </c>
      <c r="R5" s="195"/>
      <c r="S5" s="196">
        <f aca="true" t="shared" si="4" ref="S5:S11">5*R5</f>
        <v>0</v>
      </c>
      <c r="T5" s="192" t="s">
        <v>137</v>
      </c>
      <c r="U5" s="192"/>
      <c r="V5" s="195"/>
      <c r="W5" s="196">
        <f aca="true" t="shared" si="5" ref="W5:W11">3.3*V5</f>
        <v>0</v>
      </c>
      <c r="X5" s="192" t="s">
        <v>137</v>
      </c>
      <c r="Y5" s="195"/>
      <c r="Z5" s="196">
        <f aca="true" t="shared" si="6" ref="Z5:Z11">2*Y5</f>
        <v>0</v>
      </c>
      <c r="AA5" s="192" t="s">
        <v>137</v>
      </c>
      <c r="AB5" s="196">
        <f aca="true" t="shared" si="7" ref="AB5:AB12">G5+J5+M5+P5+S5+W5+Z5</f>
        <v>28.799999999999997</v>
      </c>
    </row>
    <row r="6" spans="1:28" ht="12.75">
      <c r="A6" t="s">
        <v>152</v>
      </c>
      <c r="B6" t="s">
        <v>150</v>
      </c>
      <c r="C6" s="189" t="s">
        <v>151</v>
      </c>
      <c r="D6" s="2">
        <v>0.6</v>
      </c>
      <c r="E6" s="192" t="s">
        <v>137</v>
      </c>
      <c r="F6" s="195">
        <v>1.2</v>
      </c>
      <c r="G6" s="196">
        <f t="shared" si="0"/>
        <v>14.399999999999999</v>
      </c>
      <c r="H6" s="192" t="s">
        <v>137</v>
      </c>
      <c r="I6" s="195">
        <v>1.2</v>
      </c>
      <c r="J6" s="196">
        <f t="shared" si="1"/>
        <v>14.399999999999999</v>
      </c>
      <c r="K6" s="192" t="s">
        <v>137</v>
      </c>
      <c r="L6" s="195"/>
      <c r="M6" s="196">
        <f t="shared" si="2"/>
        <v>0</v>
      </c>
      <c r="N6" s="192" t="s">
        <v>137</v>
      </c>
      <c r="O6" s="195"/>
      <c r="P6" s="196">
        <f t="shared" si="3"/>
        <v>0</v>
      </c>
      <c r="Q6" s="192" t="s">
        <v>137</v>
      </c>
      <c r="R6" s="195"/>
      <c r="S6" s="196">
        <f t="shared" si="4"/>
        <v>0</v>
      </c>
      <c r="T6" s="192" t="s">
        <v>137</v>
      </c>
      <c r="U6" s="192"/>
      <c r="V6" s="195"/>
      <c r="W6" s="196">
        <f t="shared" si="5"/>
        <v>0</v>
      </c>
      <c r="X6" s="192" t="s">
        <v>137</v>
      </c>
      <c r="Y6" s="195"/>
      <c r="Z6" s="196">
        <f t="shared" si="6"/>
        <v>0</v>
      </c>
      <c r="AA6" s="192" t="s">
        <v>137</v>
      </c>
      <c r="AB6" s="196">
        <f t="shared" si="7"/>
        <v>28.799999999999997</v>
      </c>
    </row>
    <row r="7" spans="1:28" ht="12.75">
      <c r="A7" t="s">
        <v>153</v>
      </c>
      <c r="B7" t="s">
        <v>154</v>
      </c>
      <c r="C7" s="189" t="s">
        <v>151</v>
      </c>
      <c r="D7" s="2">
        <v>0.4</v>
      </c>
      <c r="E7" s="192" t="s">
        <v>137</v>
      </c>
      <c r="F7" s="195">
        <v>0.6</v>
      </c>
      <c r="G7" s="196">
        <f t="shared" si="0"/>
        <v>7.199999999999999</v>
      </c>
      <c r="H7" s="192" t="s">
        <v>137</v>
      </c>
      <c r="I7" s="195">
        <v>0.6</v>
      </c>
      <c r="J7" s="196">
        <f t="shared" si="1"/>
        <v>7.199999999999999</v>
      </c>
      <c r="K7" s="192" t="s">
        <v>137</v>
      </c>
      <c r="L7" s="195"/>
      <c r="M7" s="196">
        <f t="shared" si="2"/>
        <v>0</v>
      </c>
      <c r="N7" s="192" t="s">
        <v>137</v>
      </c>
      <c r="O7" s="195"/>
      <c r="P7" s="196">
        <f t="shared" si="3"/>
        <v>0</v>
      </c>
      <c r="Q7" s="192" t="s">
        <v>137</v>
      </c>
      <c r="R7" s="195"/>
      <c r="S7" s="196">
        <f t="shared" si="4"/>
        <v>0</v>
      </c>
      <c r="T7" s="192" t="s">
        <v>137</v>
      </c>
      <c r="U7" s="192"/>
      <c r="V7" s="195"/>
      <c r="W7" s="196">
        <f t="shared" si="5"/>
        <v>0</v>
      </c>
      <c r="X7" s="192" t="s">
        <v>137</v>
      </c>
      <c r="Y7" s="195"/>
      <c r="Z7" s="196">
        <f t="shared" si="6"/>
        <v>0</v>
      </c>
      <c r="AA7" s="192" t="s">
        <v>137</v>
      </c>
      <c r="AB7" s="196">
        <f t="shared" si="7"/>
        <v>14.399999999999999</v>
      </c>
    </row>
    <row r="8" spans="1:28" ht="12.75">
      <c r="A8" t="s">
        <v>155</v>
      </c>
      <c r="B8" t="s">
        <v>156</v>
      </c>
      <c r="C8" s="189" t="s">
        <v>151</v>
      </c>
      <c r="D8" s="2">
        <v>6</v>
      </c>
      <c r="E8" s="192" t="s">
        <v>137</v>
      </c>
      <c r="F8" s="195">
        <v>6</v>
      </c>
      <c r="G8" s="196">
        <f t="shared" si="0"/>
        <v>72</v>
      </c>
      <c r="H8" s="192" t="s">
        <v>137</v>
      </c>
      <c r="I8" s="195">
        <v>6</v>
      </c>
      <c r="J8" s="196">
        <f t="shared" si="1"/>
        <v>72</v>
      </c>
      <c r="K8" s="192" t="s">
        <v>137</v>
      </c>
      <c r="L8" s="195"/>
      <c r="M8" s="196">
        <f t="shared" si="2"/>
        <v>0</v>
      </c>
      <c r="N8" s="192" t="s">
        <v>137</v>
      </c>
      <c r="O8" s="195"/>
      <c r="P8" s="196">
        <f t="shared" si="3"/>
        <v>0</v>
      </c>
      <c r="Q8" s="192" t="s">
        <v>137</v>
      </c>
      <c r="R8" s="195"/>
      <c r="S8" s="196">
        <f t="shared" si="4"/>
        <v>0</v>
      </c>
      <c r="T8" s="192" t="s">
        <v>137</v>
      </c>
      <c r="U8" s="192"/>
      <c r="V8" s="195"/>
      <c r="W8" s="196">
        <f t="shared" si="5"/>
        <v>0</v>
      </c>
      <c r="X8" s="192" t="s">
        <v>137</v>
      </c>
      <c r="Y8" s="195"/>
      <c r="Z8" s="196">
        <f t="shared" si="6"/>
        <v>0</v>
      </c>
      <c r="AA8" s="192" t="s">
        <v>137</v>
      </c>
      <c r="AB8" s="196">
        <f t="shared" si="7"/>
        <v>144</v>
      </c>
    </row>
    <row r="9" spans="1:28" ht="12.75">
      <c r="A9" t="s">
        <v>157</v>
      </c>
      <c r="B9" t="s">
        <v>158</v>
      </c>
      <c r="C9" s="189" t="s">
        <v>159</v>
      </c>
      <c r="D9" s="2">
        <v>15</v>
      </c>
      <c r="E9" s="192" t="s">
        <v>137</v>
      </c>
      <c r="F9" s="195"/>
      <c r="G9" s="196">
        <f t="shared" si="0"/>
        <v>0</v>
      </c>
      <c r="H9" s="192" t="s">
        <v>137</v>
      </c>
      <c r="I9" s="195"/>
      <c r="J9" s="196">
        <f t="shared" si="1"/>
        <v>0</v>
      </c>
      <c r="K9" s="192" t="s">
        <v>137</v>
      </c>
      <c r="L9" s="195">
        <v>15</v>
      </c>
      <c r="M9" s="196">
        <f t="shared" si="2"/>
        <v>75</v>
      </c>
      <c r="N9" s="192" t="s">
        <v>137</v>
      </c>
      <c r="O9" s="195">
        <v>15</v>
      </c>
      <c r="P9" s="196">
        <f t="shared" si="3"/>
        <v>75</v>
      </c>
      <c r="Q9" s="192" t="s">
        <v>137</v>
      </c>
      <c r="R9" s="195"/>
      <c r="S9" s="196">
        <f t="shared" si="4"/>
        <v>0</v>
      </c>
      <c r="T9" s="192" t="s">
        <v>137</v>
      </c>
      <c r="U9" s="192"/>
      <c r="V9" s="195"/>
      <c r="W9" s="196">
        <f t="shared" si="5"/>
        <v>0</v>
      </c>
      <c r="X9" s="192" t="s">
        <v>137</v>
      </c>
      <c r="Y9" s="195"/>
      <c r="Z9" s="196">
        <f t="shared" si="6"/>
        <v>0</v>
      </c>
      <c r="AA9" s="192" t="s">
        <v>137</v>
      </c>
      <c r="AB9" s="196">
        <f t="shared" si="7"/>
        <v>150</v>
      </c>
    </row>
    <row r="10" spans="1:28" ht="12.75">
      <c r="A10" t="s">
        <v>160</v>
      </c>
      <c r="B10" t="s">
        <v>161</v>
      </c>
      <c r="C10" s="189" t="s">
        <v>151</v>
      </c>
      <c r="D10" s="2">
        <v>7.5</v>
      </c>
      <c r="E10" s="192" t="s">
        <v>137</v>
      </c>
      <c r="F10" s="195">
        <v>7.5</v>
      </c>
      <c r="G10" s="196">
        <f t="shared" si="0"/>
        <v>90</v>
      </c>
      <c r="H10" s="192" t="s">
        <v>137</v>
      </c>
      <c r="I10" s="195">
        <v>1.5</v>
      </c>
      <c r="J10" s="196">
        <f t="shared" si="1"/>
        <v>18</v>
      </c>
      <c r="K10" s="192" t="s">
        <v>137</v>
      </c>
      <c r="L10" s="195"/>
      <c r="M10" s="196">
        <f t="shared" si="2"/>
        <v>0</v>
      </c>
      <c r="N10" s="192" t="s">
        <v>137</v>
      </c>
      <c r="O10" s="195"/>
      <c r="P10" s="196">
        <f t="shared" si="3"/>
        <v>0</v>
      </c>
      <c r="Q10" s="192" t="s">
        <v>137</v>
      </c>
      <c r="R10" s="195"/>
      <c r="S10" s="196">
        <f t="shared" si="4"/>
        <v>0</v>
      </c>
      <c r="T10" s="192" t="s">
        <v>137</v>
      </c>
      <c r="U10" s="192"/>
      <c r="V10" s="195"/>
      <c r="W10" s="196">
        <f t="shared" si="5"/>
        <v>0</v>
      </c>
      <c r="X10" s="192" t="s">
        <v>137</v>
      </c>
      <c r="Y10" s="195"/>
      <c r="Z10" s="196">
        <f t="shared" si="6"/>
        <v>0</v>
      </c>
      <c r="AA10" s="192" t="s">
        <v>137</v>
      </c>
      <c r="AB10" s="196">
        <f t="shared" si="7"/>
        <v>108</v>
      </c>
    </row>
    <row r="11" spans="1:28" ht="12.75">
      <c r="A11" s="197" t="s">
        <v>162</v>
      </c>
      <c r="B11" s="197" t="s">
        <v>163</v>
      </c>
      <c r="C11" s="189" t="s">
        <v>159</v>
      </c>
      <c r="D11" s="198" t="s">
        <v>164</v>
      </c>
      <c r="E11" s="192" t="s">
        <v>137</v>
      </c>
      <c r="F11" s="195"/>
      <c r="G11" s="196">
        <f t="shared" si="0"/>
        <v>0</v>
      </c>
      <c r="H11" s="192" t="s">
        <v>137</v>
      </c>
      <c r="I11" s="195"/>
      <c r="J11" s="196">
        <f t="shared" si="1"/>
        <v>0</v>
      </c>
      <c r="K11" s="192" t="s">
        <v>137</v>
      </c>
      <c r="L11" s="195">
        <v>25</v>
      </c>
      <c r="M11" s="196">
        <f t="shared" si="2"/>
        <v>125</v>
      </c>
      <c r="N11" s="192" t="s">
        <v>137</v>
      </c>
      <c r="O11" s="195">
        <v>35</v>
      </c>
      <c r="P11" s="196">
        <f t="shared" si="3"/>
        <v>175</v>
      </c>
      <c r="Q11" s="192" t="s">
        <v>137</v>
      </c>
      <c r="R11" s="195"/>
      <c r="S11" s="196">
        <f t="shared" si="4"/>
        <v>0</v>
      </c>
      <c r="T11" s="192" t="s">
        <v>137</v>
      </c>
      <c r="U11" s="192"/>
      <c r="V11" s="195"/>
      <c r="W11" s="196">
        <f t="shared" si="5"/>
        <v>0</v>
      </c>
      <c r="X11" s="192" t="s">
        <v>137</v>
      </c>
      <c r="Y11" s="195"/>
      <c r="Z11" s="196">
        <f t="shared" si="6"/>
        <v>0</v>
      </c>
      <c r="AA11" s="192" t="s">
        <v>137</v>
      </c>
      <c r="AB11" s="196">
        <f t="shared" si="7"/>
        <v>300</v>
      </c>
    </row>
    <row r="12" spans="1:28" ht="12.75">
      <c r="A12" t="s">
        <v>165</v>
      </c>
      <c r="B12" s="197"/>
      <c r="D12" s="198"/>
      <c r="E12" s="192" t="s">
        <v>137</v>
      </c>
      <c r="F12" s="196">
        <f>SUM(F5:F11)</f>
        <v>16.5</v>
      </c>
      <c r="G12" s="196">
        <f>SUM(G5:G11)</f>
        <v>198</v>
      </c>
      <c r="H12" s="192" t="s">
        <v>137</v>
      </c>
      <c r="I12" s="196">
        <f>SUM(I5:I11)</f>
        <v>10.5</v>
      </c>
      <c r="J12" s="196">
        <f>SUM(J5:J11)</f>
        <v>126</v>
      </c>
      <c r="K12" s="192" t="s">
        <v>137</v>
      </c>
      <c r="L12" s="196">
        <f>SUM(L5:L11)</f>
        <v>40</v>
      </c>
      <c r="M12" s="196">
        <f>SUM(M5:M11)</f>
        <v>200</v>
      </c>
      <c r="N12" s="192" t="s">
        <v>137</v>
      </c>
      <c r="O12" s="196">
        <f>SUM(O5:O11)</f>
        <v>50</v>
      </c>
      <c r="P12" s="196">
        <f>SUM(P5:P11)</f>
        <v>250</v>
      </c>
      <c r="Q12" s="192" t="s">
        <v>137</v>
      </c>
      <c r="R12" s="196">
        <f>SUM(R5:R11)</f>
        <v>0</v>
      </c>
      <c r="S12" s="196">
        <f>SUM(S5:S11)</f>
        <v>0</v>
      </c>
      <c r="T12" s="192" t="s">
        <v>137</v>
      </c>
      <c r="U12" s="192"/>
      <c r="V12" s="196">
        <f>SUM(V5:V11)</f>
        <v>0</v>
      </c>
      <c r="W12" s="196">
        <f>SUM(W5:W11)</f>
        <v>0</v>
      </c>
      <c r="X12" s="192" t="s">
        <v>137</v>
      </c>
      <c r="Y12" s="196">
        <f>SUM(Y5:Y11)</f>
        <v>0</v>
      </c>
      <c r="Z12" s="196">
        <f>SUM(Z5:Z11)</f>
        <v>0</v>
      </c>
      <c r="AA12" s="192" t="s">
        <v>137</v>
      </c>
      <c r="AB12" s="196">
        <f t="shared" si="7"/>
        <v>774</v>
      </c>
    </row>
    <row r="13" spans="2:28" s="199" customFormat="1" ht="12.75">
      <c r="B13" s="197"/>
      <c r="C13" s="200"/>
      <c r="D13" s="201"/>
      <c r="E13" s="194"/>
      <c r="F13" s="195"/>
      <c r="G13" s="196"/>
      <c r="H13" s="194"/>
      <c r="I13" s="195"/>
      <c r="J13" s="196"/>
      <c r="K13" s="194"/>
      <c r="L13" s="195"/>
      <c r="M13" s="196"/>
      <c r="N13" s="194"/>
      <c r="O13" s="195"/>
      <c r="P13" s="196"/>
      <c r="Q13" s="194"/>
      <c r="R13" s="195"/>
      <c r="S13" s="196"/>
      <c r="T13" s="194"/>
      <c r="U13" s="194"/>
      <c r="V13" s="195"/>
      <c r="W13" s="196"/>
      <c r="X13" s="194"/>
      <c r="Y13" s="195"/>
      <c r="Z13" s="196"/>
      <c r="AA13" s="194"/>
      <c r="AB13" s="196"/>
    </row>
    <row r="14" spans="1:28" s="199" customFormat="1" ht="12.75">
      <c r="A14" s="202" t="s">
        <v>166</v>
      </c>
      <c r="B14" s="197"/>
      <c r="C14" s="200"/>
      <c r="D14" s="201"/>
      <c r="E14" s="194"/>
      <c r="F14" s="195"/>
      <c r="G14" s="196"/>
      <c r="H14" s="194"/>
      <c r="I14" s="195"/>
      <c r="J14" s="196"/>
      <c r="K14" s="194"/>
      <c r="L14" s="195"/>
      <c r="M14" s="196"/>
      <c r="N14" s="194"/>
      <c r="O14" s="195"/>
      <c r="P14" s="196"/>
      <c r="Q14" s="194"/>
      <c r="R14" s="195"/>
      <c r="S14" s="196"/>
      <c r="T14" s="194"/>
      <c r="U14" s="194"/>
      <c r="V14" s="195"/>
      <c r="W14" s="196"/>
      <c r="X14" s="194"/>
      <c r="Y14" s="195"/>
      <c r="Z14" s="196"/>
      <c r="AA14" s="194"/>
      <c r="AB14" s="196"/>
    </row>
    <row r="15" spans="1:28" ht="12.75">
      <c r="A15" s="199" t="s">
        <v>167</v>
      </c>
      <c r="B15" t="s">
        <v>167</v>
      </c>
      <c r="C15" s="189" t="s">
        <v>168</v>
      </c>
      <c r="D15" s="2">
        <v>200</v>
      </c>
      <c r="E15" s="192" t="s">
        <v>137</v>
      </c>
      <c r="F15" s="195"/>
      <c r="G15" s="196">
        <f>12*F15</f>
        <v>0</v>
      </c>
      <c r="H15" s="192" t="s">
        <v>137</v>
      </c>
      <c r="I15" s="195"/>
      <c r="J15" s="196">
        <f>12*I15</f>
        <v>0</v>
      </c>
      <c r="K15" s="192" t="s">
        <v>137</v>
      </c>
      <c r="L15" s="195"/>
      <c r="M15" s="196">
        <f>5*L15</f>
        <v>0</v>
      </c>
      <c r="N15" s="192" t="s">
        <v>137</v>
      </c>
      <c r="O15" s="195"/>
      <c r="P15" s="196">
        <f>5*O15</f>
        <v>0</v>
      </c>
      <c r="Q15" s="192" t="s">
        <v>137</v>
      </c>
      <c r="R15" s="195"/>
      <c r="S15" s="196">
        <f>5*R15</f>
        <v>0</v>
      </c>
      <c r="T15" s="192" t="s">
        <v>137</v>
      </c>
      <c r="U15" s="192"/>
      <c r="V15" s="195"/>
      <c r="W15" s="196">
        <f>3.3*V15</f>
        <v>0</v>
      </c>
      <c r="X15" s="192" t="s">
        <v>137</v>
      </c>
      <c r="Y15" s="195">
        <v>250</v>
      </c>
      <c r="Z15" s="196">
        <f>2*Y15</f>
        <v>500</v>
      </c>
      <c r="AA15" s="192" t="s">
        <v>137</v>
      </c>
      <c r="AB15" s="196">
        <f>G15+J15+M15+P15+S15+W15+Z15</f>
        <v>500</v>
      </c>
    </row>
    <row r="16" spans="2:28" ht="12.75">
      <c r="B16" t="s">
        <v>167</v>
      </c>
      <c r="C16" s="189" t="s">
        <v>169</v>
      </c>
      <c r="D16" s="2">
        <v>40</v>
      </c>
      <c r="E16" s="192" t="s">
        <v>137</v>
      </c>
      <c r="F16" s="195"/>
      <c r="G16" s="196">
        <f>12*F16</f>
        <v>0</v>
      </c>
      <c r="H16" s="192" t="s">
        <v>137</v>
      </c>
      <c r="I16" s="195"/>
      <c r="J16" s="196">
        <f>12*I16</f>
        <v>0</v>
      </c>
      <c r="K16" s="192" t="s">
        <v>137</v>
      </c>
      <c r="L16" s="195"/>
      <c r="M16" s="196">
        <f>5*L16</f>
        <v>0</v>
      </c>
      <c r="N16" s="192" t="s">
        <v>137</v>
      </c>
      <c r="O16" s="195"/>
      <c r="P16" s="196">
        <f>5*O16</f>
        <v>0</v>
      </c>
      <c r="Q16" s="192" t="s">
        <v>137</v>
      </c>
      <c r="R16" s="195"/>
      <c r="S16" s="196">
        <f>5*R16</f>
        <v>0</v>
      </c>
      <c r="T16" s="192" t="s">
        <v>137</v>
      </c>
      <c r="U16" s="192"/>
      <c r="V16" s="195">
        <v>40</v>
      </c>
      <c r="W16" s="196">
        <f>3.3*V16</f>
        <v>132</v>
      </c>
      <c r="X16" s="192" t="s">
        <v>137</v>
      </c>
      <c r="Y16" s="195"/>
      <c r="Z16" s="196">
        <f>2*Y16</f>
        <v>0</v>
      </c>
      <c r="AA16" s="192" t="s">
        <v>137</v>
      </c>
      <c r="AB16" s="196">
        <f>G16+J16+M16+P16+S16+W16+Z16</f>
        <v>132</v>
      </c>
    </row>
    <row r="17" spans="1:28" ht="12.75">
      <c r="A17" t="s">
        <v>170</v>
      </c>
      <c r="B17" t="s">
        <v>171</v>
      </c>
      <c r="C17" s="189" t="s">
        <v>169</v>
      </c>
      <c r="D17" s="2">
        <v>61</v>
      </c>
      <c r="E17" s="192" t="s">
        <v>137</v>
      </c>
      <c r="F17" s="195"/>
      <c r="G17" s="196">
        <f>12*F17</f>
        <v>0</v>
      </c>
      <c r="H17" s="192" t="s">
        <v>137</v>
      </c>
      <c r="I17" s="195"/>
      <c r="J17" s="196">
        <f>12*I17</f>
        <v>0</v>
      </c>
      <c r="K17" s="192" t="s">
        <v>137</v>
      </c>
      <c r="L17" s="195"/>
      <c r="M17" s="196">
        <f>5*L17</f>
        <v>0</v>
      </c>
      <c r="N17" s="192" t="s">
        <v>137</v>
      </c>
      <c r="O17" s="195"/>
      <c r="P17" s="196">
        <f>5*O17</f>
        <v>0</v>
      </c>
      <c r="Q17" s="192" t="s">
        <v>137</v>
      </c>
      <c r="R17" s="195"/>
      <c r="S17" s="196">
        <f>5*R17</f>
        <v>0</v>
      </c>
      <c r="T17" s="192" t="s">
        <v>137</v>
      </c>
      <c r="U17" s="192"/>
      <c r="V17" s="195">
        <v>50</v>
      </c>
      <c r="W17" s="196">
        <f>3.3*V17</f>
        <v>165</v>
      </c>
      <c r="X17" s="192" t="s">
        <v>137</v>
      </c>
      <c r="Y17" s="195"/>
      <c r="Z17" s="196">
        <f>2*Y17</f>
        <v>0</v>
      </c>
      <c r="AA17" s="192" t="s">
        <v>137</v>
      </c>
      <c r="AB17" s="196">
        <f>G17+J17+M17+P17+S17+W17+Z17</f>
        <v>165</v>
      </c>
    </row>
    <row r="18" spans="1:28" ht="12.75">
      <c r="A18" t="s">
        <v>172</v>
      </c>
      <c r="B18" t="s">
        <v>173</v>
      </c>
      <c r="C18" s="189" t="s">
        <v>174</v>
      </c>
      <c r="D18" s="2">
        <v>10</v>
      </c>
      <c r="E18" s="192" t="s">
        <v>137</v>
      </c>
      <c r="F18" s="195"/>
      <c r="G18" s="196">
        <f>12*F18</f>
        <v>0</v>
      </c>
      <c r="H18" s="192" t="s">
        <v>137</v>
      </c>
      <c r="I18" s="195"/>
      <c r="J18" s="196">
        <f>12*I18</f>
        <v>0</v>
      </c>
      <c r="K18" s="192" t="s">
        <v>137</v>
      </c>
      <c r="L18" s="195"/>
      <c r="M18" s="196">
        <f>5*L18</f>
        <v>0</v>
      </c>
      <c r="N18" s="192" t="s">
        <v>137</v>
      </c>
      <c r="O18" s="195"/>
      <c r="P18" s="196">
        <f>5*O18</f>
        <v>0</v>
      </c>
      <c r="Q18" s="192" t="s">
        <v>137</v>
      </c>
      <c r="R18" s="195">
        <v>10</v>
      </c>
      <c r="S18" s="196">
        <f>5*R18</f>
        <v>50</v>
      </c>
      <c r="T18" s="192" t="s">
        <v>137</v>
      </c>
      <c r="U18" s="192"/>
      <c r="V18" s="195">
        <v>0</v>
      </c>
      <c r="W18" s="196">
        <f>3.3*V18</f>
        <v>0</v>
      </c>
      <c r="X18" s="192" t="s">
        <v>137</v>
      </c>
      <c r="Y18" s="195"/>
      <c r="Z18" s="196">
        <f>2*Y18</f>
        <v>0</v>
      </c>
      <c r="AA18" s="192" t="s">
        <v>137</v>
      </c>
      <c r="AB18" s="196">
        <f>G18+J18+M18+P18+S18+W18+Z18</f>
        <v>50</v>
      </c>
    </row>
    <row r="19" spans="1:28" ht="12.75">
      <c r="A19" t="s">
        <v>175</v>
      </c>
      <c r="E19" s="192" t="s">
        <v>137</v>
      </c>
      <c r="F19" s="196">
        <f>SUM(F15:F18)</f>
        <v>0</v>
      </c>
      <c r="G19" s="196">
        <f>SUM(G15:G18)</f>
        <v>0</v>
      </c>
      <c r="H19" s="192" t="s">
        <v>137</v>
      </c>
      <c r="I19" s="196">
        <f>SUM(I15:I18)</f>
        <v>0</v>
      </c>
      <c r="J19" s="196">
        <f>SUM(J15:J18)</f>
        <v>0</v>
      </c>
      <c r="K19" s="192" t="s">
        <v>137</v>
      </c>
      <c r="L19" s="196">
        <f>SUM(L15:L18)</f>
        <v>0</v>
      </c>
      <c r="M19" s="196">
        <f>SUM(M15:M18)</f>
        <v>0</v>
      </c>
      <c r="N19" s="192" t="s">
        <v>137</v>
      </c>
      <c r="O19" s="196">
        <f>SUM(O15:O18)</f>
        <v>0</v>
      </c>
      <c r="P19" s="196">
        <f>SUM(P15:P18)</f>
        <v>0</v>
      </c>
      <c r="Q19" s="192" t="s">
        <v>137</v>
      </c>
      <c r="R19" s="196">
        <f>SUM(R15:R18)</f>
        <v>10</v>
      </c>
      <c r="S19" s="196">
        <f>SUM(S15:S18)</f>
        <v>50</v>
      </c>
      <c r="T19" s="192" t="s">
        <v>137</v>
      </c>
      <c r="U19" s="192"/>
      <c r="V19" s="196">
        <f>SUM(V15:V18)</f>
        <v>90</v>
      </c>
      <c r="W19" s="196">
        <f>SUM(W15:W18)</f>
        <v>297</v>
      </c>
      <c r="X19" s="192" t="s">
        <v>137</v>
      </c>
      <c r="Y19" s="196">
        <f>SUM(Y15:Y18)</f>
        <v>250</v>
      </c>
      <c r="Z19" s="196">
        <f>SUM(Z15:Z18)</f>
        <v>500</v>
      </c>
      <c r="AA19" s="192" t="s">
        <v>137</v>
      </c>
      <c r="AB19" s="196">
        <f>G19+J19+M19+P19+S19+W19+Z19</f>
        <v>847</v>
      </c>
    </row>
    <row r="21" spans="1:28" s="1" customFormat="1" ht="12.75">
      <c r="A21" s="1" t="s">
        <v>176</v>
      </c>
      <c r="C21" s="203"/>
      <c r="E21" s="204" t="s">
        <v>137</v>
      </c>
      <c r="F21" s="205">
        <f>F12+F19</f>
        <v>16.5</v>
      </c>
      <c r="G21" s="205">
        <f>G12+G19</f>
        <v>198</v>
      </c>
      <c r="H21" s="204" t="s">
        <v>137</v>
      </c>
      <c r="I21" s="205">
        <f>I12+I19</f>
        <v>10.5</v>
      </c>
      <c r="J21" s="205">
        <f>J12+J19</f>
        <v>126</v>
      </c>
      <c r="K21" s="204" t="s">
        <v>137</v>
      </c>
      <c r="L21" s="205">
        <f>L12+L19</f>
        <v>40</v>
      </c>
      <c r="M21" s="205">
        <f>M12+M19</f>
        <v>200</v>
      </c>
      <c r="N21" s="204" t="s">
        <v>137</v>
      </c>
      <c r="O21" s="205">
        <f>O12+O19</f>
        <v>50</v>
      </c>
      <c r="P21" s="205">
        <f>P12+P19</f>
        <v>250</v>
      </c>
      <c r="Q21" s="204" t="s">
        <v>137</v>
      </c>
      <c r="R21" s="205">
        <f>R12+R19</f>
        <v>10</v>
      </c>
      <c r="S21" s="205">
        <f>S12+S19</f>
        <v>50</v>
      </c>
      <c r="T21" s="204" t="s">
        <v>137</v>
      </c>
      <c r="U21" s="204"/>
      <c r="V21" s="205">
        <f>V12+V19</f>
        <v>90</v>
      </c>
      <c r="W21" s="205">
        <f>W12+W19</f>
        <v>297</v>
      </c>
      <c r="X21" s="204" t="s">
        <v>137</v>
      </c>
      <c r="Y21" s="205">
        <f>Y12+Y19</f>
        <v>250</v>
      </c>
      <c r="Z21" s="205">
        <f>Z12+Z19</f>
        <v>500</v>
      </c>
      <c r="AA21" s="204" t="s">
        <v>137</v>
      </c>
      <c r="AB21" s="196">
        <f>G21+J21+M21+P21+S21+W21+Z21</f>
        <v>1621</v>
      </c>
    </row>
    <row r="22" spans="3:28" ht="12.75">
      <c r="C22"/>
      <c r="E22" s="192" t="s">
        <v>137</v>
      </c>
      <c r="F22" s="193" t="s">
        <v>146</v>
      </c>
      <c r="G22" s="193" t="s">
        <v>147</v>
      </c>
      <c r="H22" s="192" t="s">
        <v>137</v>
      </c>
      <c r="I22" s="193" t="s">
        <v>146</v>
      </c>
      <c r="J22" s="193" t="s">
        <v>147</v>
      </c>
      <c r="K22" s="192" t="s">
        <v>137</v>
      </c>
      <c r="L22" s="193" t="s">
        <v>146</v>
      </c>
      <c r="M22" s="193" t="s">
        <v>147</v>
      </c>
      <c r="N22" s="192" t="s">
        <v>137</v>
      </c>
      <c r="O22" s="193" t="s">
        <v>146</v>
      </c>
      <c r="P22" s="193" t="s">
        <v>147</v>
      </c>
      <c r="Q22" s="192" t="s">
        <v>137</v>
      </c>
      <c r="R22" s="193" t="s">
        <v>146</v>
      </c>
      <c r="S22" s="193" t="s">
        <v>147</v>
      </c>
      <c r="T22" s="192" t="s">
        <v>137</v>
      </c>
      <c r="U22" s="192"/>
      <c r="V22" s="193" t="s">
        <v>146</v>
      </c>
      <c r="W22" s="193" t="s">
        <v>147</v>
      </c>
      <c r="X22" s="192" t="s">
        <v>137</v>
      </c>
      <c r="Y22" s="193" t="s">
        <v>146</v>
      </c>
      <c r="Z22" s="193" t="s">
        <v>147</v>
      </c>
      <c r="AA22" s="192" t="s">
        <v>137</v>
      </c>
      <c r="AB22" s="16" t="s">
        <v>147</v>
      </c>
    </row>
    <row r="23" spans="1:28" ht="12.75">
      <c r="A23" t="s">
        <v>135</v>
      </c>
      <c r="C23"/>
      <c r="E23" s="192" t="s">
        <v>137</v>
      </c>
      <c r="F23" s="392" t="s">
        <v>177</v>
      </c>
      <c r="G23" s="392"/>
      <c r="H23" s="192" t="s">
        <v>137</v>
      </c>
      <c r="I23" s="392" t="s">
        <v>178</v>
      </c>
      <c r="J23" s="392"/>
      <c r="K23" s="192" t="s">
        <v>137</v>
      </c>
      <c r="L23" s="392" t="s">
        <v>179</v>
      </c>
      <c r="M23" s="392"/>
      <c r="N23" s="192" t="s">
        <v>137</v>
      </c>
      <c r="O23" s="392" t="s">
        <v>180</v>
      </c>
      <c r="P23" s="392"/>
      <c r="Q23" s="192" t="s">
        <v>137</v>
      </c>
      <c r="R23" s="392" t="s">
        <v>179</v>
      </c>
      <c r="S23" s="392"/>
      <c r="T23" s="192" t="s">
        <v>137</v>
      </c>
      <c r="U23" s="192"/>
      <c r="V23" s="392" t="s">
        <v>181</v>
      </c>
      <c r="W23" s="392"/>
      <c r="X23" s="192" t="s">
        <v>137</v>
      </c>
      <c r="Y23" s="392" t="s">
        <v>182</v>
      </c>
      <c r="Z23" s="392"/>
      <c r="AA23" s="192" t="s">
        <v>137</v>
      </c>
      <c r="AB23" s="16" t="s">
        <v>2</v>
      </c>
    </row>
  </sheetData>
  <mergeCells count="14">
    <mergeCell ref="V23:W23"/>
    <mergeCell ref="Y23:Z23"/>
    <mergeCell ref="R23:S23"/>
    <mergeCell ref="F23:G23"/>
    <mergeCell ref="I23:J23"/>
    <mergeCell ref="L23:M23"/>
    <mergeCell ref="O23:P23"/>
    <mergeCell ref="L2:M2"/>
    <mergeCell ref="V2:W2"/>
    <mergeCell ref="Y2:Z2"/>
    <mergeCell ref="F2:G2"/>
    <mergeCell ref="I2:J2"/>
    <mergeCell ref="O2:P2"/>
    <mergeCell ref="R2:S2"/>
  </mergeCells>
  <printOptions/>
  <pageMargins left="0.75" right="0.75" top="1" bottom="1" header="0.5" footer="0.5"/>
  <pageSetup orientation="portrait" r:id="rId3"/>
  <legacyDrawing r:id="rId2"/>
</worksheet>
</file>

<file path=xl/worksheets/sheet39.xml><?xml version="1.0" encoding="utf-8"?>
<worksheet xmlns="http://schemas.openxmlformats.org/spreadsheetml/2006/main" xmlns:r="http://schemas.openxmlformats.org/officeDocument/2006/relationships">
  <dimension ref="A1:N24"/>
  <sheetViews>
    <sheetView zoomScale="85" zoomScaleNormal="85" workbookViewId="0" topLeftCell="A1">
      <selection activeCell="A14" sqref="A14"/>
    </sheetView>
  </sheetViews>
  <sheetFormatPr defaultColWidth="9.140625" defaultRowHeight="12.75"/>
  <cols>
    <col min="1" max="1" width="22.57421875" style="0" customWidth="1"/>
    <col min="2" max="2" width="14.57421875" style="0" customWidth="1"/>
    <col min="3" max="3" width="22.421875" style="0" customWidth="1"/>
    <col min="5" max="5" width="55.8515625" style="0" customWidth="1"/>
    <col min="6" max="6" width="11.57421875" style="0" customWidth="1"/>
    <col min="7" max="7" width="16.00390625" style="0" customWidth="1"/>
    <col min="8" max="8" width="13.8515625" style="0" customWidth="1"/>
    <col min="9" max="9" width="18.8515625" style="0" customWidth="1"/>
    <col min="10" max="10" width="19.421875" style="0" hidden="1" customWidth="1"/>
    <col min="11" max="11" width="22.8515625" style="0" hidden="1" customWidth="1"/>
    <col min="12" max="12" width="19.57421875" style="0" customWidth="1"/>
    <col min="13" max="13" width="22.28125" style="0" customWidth="1"/>
    <col min="14" max="14" width="45.28125" style="0" customWidth="1"/>
  </cols>
  <sheetData>
    <row r="1" spans="1:2" ht="13.5" thickBot="1">
      <c r="A1" s="206" t="s">
        <v>183</v>
      </c>
      <c r="B1" s="188">
        <f>2^24/1000000</f>
        <v>16.777216</v>
      </c>
    </row>
    <row r="2" ht="13.5" thickBot="1"/>
    <row r="3" spans="1:14" ht="13.5" thickBot="1">
      <c r="A3" s="208" t="s">
        <v>184</v>
      </c>
      <c r="B3" s="209" t="s">
        <v>185</v>
      </c>
      <c r="C3" s="210" t="s">
        <v>186</v>
      </c>
      <c r="D3" s="210" t="s">
        <v>187</v>
      </c>
      <c r="E3" s="210" t="s">
        <v>188</v>
      </c>
      <c r="F3" s="211" t="s">
        <v>189</v>
      </c>
      <c r="G3" s="211" t="s">
        <v>190</v>
      </c>
      <c r="H3" s="211" t="s">
        <v>191</v>
      </c>
      <c r="I3" s="211" t="s">
        <v>192</v>
      </c>
      <c r="J3" s="211" t="s">
        <v>193</v>
      </c>
      <c r="K3" s="211" t="s">
        <v>194</v>
      </c>
      <c r="L3" s="211" t="s">
        <v>335</v>
      </c>
      <c r="M3" s="211" t="s">
        <v>336</v>
      </c>
      <c r="N3" s="212" t="s">
        <v>195</v>
      </c>
    </row>
    <row r="4" spans="1:14" ht="12.75">
      <c r="A4" s="213" t="s">
        <v>196</v>
      </c>
      <c r="B4" s="214" t="s">
        <v>197</v>
      </c>
      <c r="C4" s="215" t="s">
        <v>198</v>
      </c>
      <c r="D4" s="215">
        <v>1</v>
      </c>
      <c r="E4" s="216" t="s">
        <v>199</v>
      </c>
      <c r="F4" s="215">
        <v>3.3</v>
      </c>
      <c r="G4" s="217">
        <f>90/3.3</f>
        <v>27.272727272727273</v>
      </c>
      <c r="H4" s="217">
        <v>24.3</v>
      </c>
      <c r="I4" s="217">
        <v>24</v>
      </c>
      <c r="J4" s="217">
        <f aca="true" t="shared" si="0" ref="J4:K11">G4*$F4</f>
        <v>90</v>
      </c>
      <c r="K4" s="217">
        <f t="shared" si="0"/>
        <v>80.19</v>
      </c>
      <c r="L4" s="217">
        <f aca="true" t="shared" si="1" ref="L4:L9">J4*D4</f>
        <v>90</v>
      </c>
      <c r="M4" s="217">
        <f aca="true" t="shared" si="2" ref="M4:M9">K4*D4</f>
        <v>80.19</v>
      </c>
      <c r="N4" s="218" t="s">
        <v>337</v>
      </c>
    </row>
    <row r="5" spans="1:14" ht="12.75">
      <c r="A5" s="219" t="s">
        <v>196</v>
      </c>
      <c r="B5" s="220" t="s">
        <v>197</v>
      </c>
      <c r="C5" s="20" t="str">
        <f>C4</f>
        <v>RTAX2000S</v>
      </c>
      <c r="D5" s="20">
        <v>1</v>
      </c>
      <c r="E5" s="20"/>
      <c r="F5" s="20">
        <v>1.5</v>
      </c>
      <c r="G5" s="221">
        <f>2*H5</f>
        <v>373.2</v>
      </c>
      <c r="H5" s="221">
        <v>186.6</v>
      </c>
      <c r="I5" s="221">
        <v>160</v>
      </c>
      <c r="J5" s="221">
        <f t="shared" si="0"/>
        <v>559.8</v>
      </c>
      <c r="K5" s="221">
        <f t="shared" si="0"/>
        <v>279.9</v>
      </c>
      <c r="L5" s="221">
        <f t="shared" si="1"/>
        <v>559.8</v>
      </c>
      <c r="M5" s="221">
        <f t="shared" si="2"/>
        <v>279.9</v>
      </c>
      <c r="N5" s="222"/>
    </row>
    <row r="6" spans="1:14" ht="12.75">
      <c r="A6" s="219" t="s">
        <v>201</v>
      </c>
      <c r="B6" s="220" t="s">
        <v>202</v>
      </c>
      <c r="C6" s="20" t="s">
        <v>203</v>
      </c>
      <c r="D6" s="20">
        <v>1</v>
      </c>
      <c r="E6" s="223" t="s">
        <v>204</v>
      </c>
      <c r="F6" s="20">
        <v>3.3</v>
      </c>
      <c r="G6" s="221">
        <f>(15*B1/4)/F6</f>
        <v>19.065018181818182</v>
      </c>
      <c r="H6" s="221">
        <f>I6</f>
        <v>0</v>
      </c>
      <c r="I6" s="221">
        <v>0</v>
      </c>
      <c r="J6" s="221">
        <f t="shared" si="0"/>
        <v>62.914559999999994</v>
      </c>
      <c r="K6" s="221">
        <f t="shared" si="0"/>
        <v>0</v>
      </c>
      <c r="L6" s="221">
        <f t="shared" si="1"/>
        <v>62.914559999999994</v>
      </c>
      <c r="M6" s="221">
        <f t="shared" si="2"/>
        <v>0</v>
      </c>
      <c r="N6" s="222" t="s">
        <v>338</v>
      </c>
    </row>
    <row r="7" spans="1:14" ht="12.75">
      <c r="A7" s="219" t="s">
        <v>205</v>
      </c>
      <c r="B7" s="220" t="s">
        <v>206</v>
      </c>
      <c r="C7" s="20" t="s">
        <v>207</v>
      </c>
      <c r="D7" s="20">
        <v>1</v>
      </c>
      <c r="E7" s="223" t="s">
        <v>208</v>
      </c>
      <c r="F7" s="20">
        <v>3.3</v>
      </c>
      <c r="G7" s="221">
        <f>(20*B1/4)/F7</f>
        <v>25.42002424242424</v>
      </c>
      <c r="H7" s="221">
        <f>I7</f>
        <v>0.021818181818181816</v>
      </c>
      <c r="I7" s="221">
        <f>0.072/F7</f>
        <v>0.021818181818181816</v>
      </c>
      <c r="J7" s="221">
        <f t="shared" si="0"/>
        <v>83.88607999999999</v>
      </c>
      <c r="K7" s="221">
        <f t="shared" si="0"/>
        <v>0.072</v>
      </c>
      <c r="L7" s="221">
        <f t="shared" si="1"/>
        <v>83.88607999999999</v>
      </c>
      <c r="M7" s="221">
        <f t="shared" si="2"/>
        <v>0.072</v>
      </c>
      <c r="N7" s="222" t="s">
        <v>209</v>
      </c>
    </row>
    <row r="8" spans="1:14" ht="12.75">
      <c r="A8" s="219" t="s">
        <v>210</v>
      </c>
      <c r="B8" s="220" t="s">
        <v>211</v>
      </c>
      <c r="C8" s="20" t="s">
        <v>212</v>
      </c>
      <c r="D8" s="20">
        <v>1</v>
      </c>
      <c r="E8" s="223" t="s">
        <v>213</v>
      </c>
      <c r="F8" s="20">
        <v>3.3</v>
      </c>
      <c r="G8" s="221">
        <f>H8</f>
        <v>36.43901090909091</v>
      </c>
      <c r="H8" s="221">
        <f>I8+((9*B1/4)/3.3)</f>
        <v>36.43901090909091</v>
      </c>
      <c r="I8" s="221">
        <v>25</v>
      </c>
      <c r="J8" s="221">
        <f t="shared" si="0"/>
        <v>120.248736</v>
      </c>
      <c r="K8" s="221">
        <f t="shared" si="0"/>
        <v>120.248736</v>
      </c>
      <c r="L8" s="221">
        <f t="shared" si="1"/>
        <v>120.248736</v>
      </c>
      <c r="M8" s="221">
        <f t="shared" si="2"/>
        <v>120.248736</v>
      </c>
      <c r="N8" s="222"/>
    </row>
    <row r="9" spans="1:14" ht="12.75">
      <c r="A9" s="219" t="s">
        <v>171</v>
      </c>
      <c r="B9" s="220" t="s">
        <v>214</v>
      </c>
      <c r="C9" s="20" t="s">
        <v>215</v>
      </c>
      <c r="D9" s="20">
        <v>1</v>
      </c>
      <c r="E9" s="223" t="s">
        <v>216</v>
      </c>
      <c r="F9" s="20">
        <v>3.3</v>
      </c>
      <c r="G9" s="221">
        <v>200</v>
      </c>
      <c r="H9" s="221">
        <v>50</v>
      </c>
      <c r="I9" s="221">
        <v>0</v>
      </c>
      <c r="J9" s="221">
        <f t="shared" si="0"/>
        <v>660</v>
      </c>
      <c r="K9" s="221">
        <f t="shared" si="0"/>
        <v>165</v>
      </c>
      <c r="L9" s="221">
        <f t="shared" si="1"/>
        <v>660</v>
      </c>
      <c r="M9" s="221">
        <f t="shared" si="2"/>
        <v>165</v>
      </c>
      <c r="N9" s="222" t="s">
        <v>217</v>
      </c>
    </row>
    <row r="10" spans="1:14" ht="12.75">
      <c r="A10" s="219" t="s">
        <v>218</v>
      </c>
      <c r="B10" s="220" t="s">
        <v>214</v>
      </c>
      <c r="C10" s="20" t="s">
        <v>219</v>
      </c>
      <c r="D10" s="20">
        <v>8</v>
      </c>
      <c r="E10" s="223" t="s">
        <v>220</v>
      </c>
      <c r="F10" s="20">
        <v>3.3</v>
      </c>
      <c r="G10" s="221">
        <v>40</v>
      </c>
      <c r="H10" s="221">
        <v>0</v>
      </c>
      <c r="I10" s="221">
        <v>0</v>
      </c>
      <c r="J10" s="221">
        <f t="shared" si="0"/>
        <v>132</v>
      </c>
      <c r="K10" s="221">
        <f t="shared" si="0"/>
        <v>0</v>
      </c>
      <c r="L10" s="221">
        <f>J10</f>
        <v>132</v>
      </c>
      <c r="M10" s="221">
        <v>0</v>
      </c>
      <c r="N10" s="222" t="s">
        <v>338</v>
      </c>
    </row>
    <row r="11" spans="1:14" ht="12.75">
      <c r="A11" s="219" t="s">
        <v>224</v>
      </c>
      <c r="B11" s="220" t="s">
        <v>240</v>
      </c>
      <c r="C11" s="20" t="s">
        <v>339</v>
      </c>
      <c r="D11" s="20">
        <f>3+2*8</f>
        <v>19</v>
      </c>
      <c r="E11" s="223" t="s">
        <v>227</v>
      </c>
      <c r="F11" s="20">
        <v>3.3</v>
      </c>
      <c r="G11" s="221">
        <v>10</v>
      </c>
      <c r="H11" s="221">
        <v>5</v>
      </c>
      <c r="I11" s="221">
        <v>0.1</v>
      </c>
      <c r="J11" s="221">
        <f t="shared" si="0"/>
        <v>33</v>
      </c>
      <c r="K11" s="221">
        <f t="shared" si="0"/>
        <v>16.5</v>
      </c>
      <c r="L11" s="221">
        <f>J11*9</f>
        <v>297</v>
      </c>
      <c r="M11" s="221">
        <f>K11*9</f>
        <v>148.5</v>
      </c>
      <c r="N11" s="222" t="s">
        <v>228</v>
      </c>
    </row>
    <row r="12" spans="1:14" ht="12.75">
      <c r="A12" s="219" t="s">
        <v>231</v>
      </c>
      <c r="B12" s="220" t="s">
        <v>232</v>
      </c>
      <c r="C12" s="20" t="s">
        <v>233</v>
      </c>
      <c r="D12" s="20">
        <v>1</v>
      </c>
      <c r="E12" s="223" t="s">
        <v>234</v>
      </c>
      <c r="F12" s="22">
        <v>5</v>
      </c>
      <c r="G12" s="20">
        <v>18</v>
      </c>
      <c r="H12" s="20">
        <v>1</v>
      </c>
      <c r="I12" s="20">
        <v>1</v>
      </c>
      <c r="J12" s="20">
        <f>F12*G12</f>
        <v>90</v>
      </c>
      <c r="K12" s="20">
        <f>F12*H12</f>
        <v>5</v>
      </c>
      <c r="L12" s="221">
        <f aca="true" t="shared" si="3" ref="L12:L17">J12*D12</f>
        <v>90</v>
      </c>
      <c r="M12" s="221">
        <f>K12*D12</f>
        <v>5</v>
      </c>
      <c r="N12" s="222"/>
    </row>
    <row r="13" spans="1:14" ht="12.75">
      <c r="A13" s="219" t="s">
        <v>231</v>
      </c>
      <c r="B13" s="220" t="s">
        <v>232</v>
      </c>
      <c r="C13" s="20" t="s">
        <v>340</v>
      </c>
      <c r="D13" s="20">
        <v>1</v>
      </c>
      <c r="E13" s="223"/>
      <c r="F13" s="22">
        <v>-5</v>
      </c>
      <c r="G13" s="20">
        <v>26</v>
      </c>
      <c r="H13" s="20">
        <v>1</v>
      </c>
      <c r="I13" s="20">
        <v>1</v>
      </c>
      <c r="J13" s="20">
        <f>G13*F13*-1</f>
        <v>130</v>
      </c>
      <c r="K13" s="20">
        <f>F13*H13*-1</f>
        <v>5</v>
      </c>
      <c r="L13" s="221">
        <f t="shared" si="3"/>
        <v>130</v>
      </c>
      <c r="M13" s="221">
        <f>K13*D13</f>
        <v>5</v>
      </c>
      <c r="N13" s="222"/>
    </row>
    <row r="14" spans="1:14" ht="12.75">
      <c r="A14" s="219" t="s">
        <v>236</v>
      </c>
      <c r="B14" s="220" t="s">
        <v>341</v>
      </c>
      <c r="C14" s="20" t="s">
        <v>342</v>
      </c>
      <c r="D14" s="20">
        <v>1</v>
      </c>
      <c r="E14" s="223" t="s">
        <v>237</v>
      </c>
      <c r="F14" s="22">
        <v>10</v>
      </c>
      <c r="G14" s="20">
        <v>1</v>
      </c>
      <c r="H14" s="20">
        <v>0.5</v>
      </c>
      <c r="I14" s="20">
        <v>0.5</v>
      </c>
      <c r="J14" s="20">
        <f>10*G14</f>
        <v>10</v>
      </c>
      <c r="K14" s="20">
        <f>10*H14</f>
        <v>5</v>
      </c>
      <c r="L14" s="221">
        <f t="shared" si="3"/>
        <v>10</v>
      </c>
      <c r="M14" s="221">
        <f>K14*D14</f>
        <v>5</v>
      </c>
      <c r="N14" s="222"/>
    </row>
    <row r="15" spans="1:14" ht="12.75">
      <c r="A15" s="219" t="s">
        <v>236</v>
      </c>
      <c r="B15" s="220" t="s">
        <v>341</v>
      </c>
      <c r="C15" s="20" t="s">
        <v>343</v>
      </c>
      <c r="D15" s="20">
        <v>1</v>
      </c>
      <c r="E15" s="223"/>
      <c r="F15" s="22">
        <v>-10</v>
      </c>
      <c r="G15" s="20">
        <v>1</v>
      </c>
      <c r="H15" s="20">
        <v>0.5</v>
      </c>
      <c r="I15" s="20">
        <v>0.5</v>
      </c>
      <c r="J15" s="20">
        <f>10*G15</f>
        <v>10</v>
      </c>
      <c r="K15" s="20">
        <f>10*H15</f>
        <v>5</v>
      </c>
      <c r="L15" s="221">
        <f t="shared" si="3"/>
        <v>10</v>
      </c>
      <c r="M15" s="221">
        <f>K15*D15</f>
        <v>5</v>
      </c>
      <c r="N15" s="222"/>
    </row>
    <row r="16" spans="1:14" ht="12.75">
      <c r="A16" s="224" t="s">
        <v>239</v>
      </c>
      <c r="B16" s="225" t="s">
        <v>240</v>
      </c>
      <c r="C16" s="226" t="s">
        <v>241</v>
      </c>
      <c r="D16" s="20">
        <v>1</v>
      </c>
      <c r="E16" s="223" t="s">
        <v>242</v>
      </c>
      <c r="F16" s="20">
        <v>3.3</v>
      </c>
      <c r="G16" s="20">
        <f>H16</f>
        <v>15</v>
      </c>
      <c r="H16" s="20">
        <v>15</v>
      </c>
      <c r="I16" s="20">
        <v>4</v>
      </c>
      <c r="J16" s="221">
        <f>G16*$F16</f>
        <v>49.5</v>
      </c>
      <c r="K16" s="221">
        <f>H16*$F16</f>
        <v>49.5</v>
      </c>
      <c r="L16" s="221">
        <f t="shared" si="3"/>
        <v>49.5</v>
      </c>
      <c r="M16" s="221">
        <f>K16</f>
        <v>49.5</v>
      </c>
      <c r="N16" s="222"/>
    </row>
    <row r="17" spans="1:14" ht="13.5" thickBot="1">
      <c r="A17" s="227" t="s">
        <v>243</v>
      </c>
      <c r="B17" s="228" t="s">
        <v>240</v>
      </c>
      <c r="C17" s="229" t="s">
        <v>244</v>
      </c>
      <c r="D17" s="230">
        <v>1</v>
      </c>
      <c r="E17" s="231" t="s">
        <v>245</v>
      </c>
      <c r="F17" s="230">
        <v>3.3</v>
      </c>
      <c r="G17" s="230">
        <f>H17</f>
        <v>18</v>
      </c>
      <c r="H17" s="230">
        <v>18</v>
      </c>
      <c r="I17" s="230">
        <v>3</v>
      </c>
      <c r="J17" s="232">
        <f>G17*$F17</f>
        <v>59.4</v>
      </c>
      <c r="K17" s="232">
        <f>H17*$F17</f>
        <v>59.4</v>
      </c>
      <c r="L17" s="232">
        <f t="shared" si="3"/>
        <v>59.4</v>
      </c>
      <c r="M17" s="232">
        <f>K17</f>
        <v>59.4</v>
      </c>
      <c r="N17" s="233"/>
    </row>
    <row r="21" ht="13.5" thickBot="1"/>
    <row r="22" spans="1:13" ht="13.5" thickBot="1">
      <c r="A22" s="206" t="s">
        <v>246</v>
      </c>
      <c r="B22" s="234"/>
      <c r="C22" s="234"/>
      <c r="D22" s="234"/>
      <c r="E22" s="234"/>
      <c r="F22" s="234"/>
      <c r="G22" s="235"/>
      <c r="H22" s="235"/>
      <c r="I22" s="235"/>
      <c r="J22" s="235">
        <f>SUM(J4:J14)</f>
        <v>1971.849376</v>
      </c>
      <c r="K22" s="235">
        <f>SUM(K4:K14)</f>
        <v>676.910736</v>
      </c>
      <c r="L22" s="235">
        <f>SUM(L4:L14)</f>
        <v>2235.849376</v>
      </c>
      <c r="M22" s="236">
        <f>SUM(M4:M17)</f>
        <v>922.810736</v>
      </c>
    </row>
    <row r="23" spans="1:9" ht="13.5" thickBot="1">
      <c r="A23" s="206" t="s">
        <v>247</v>
      </c>
      <c r="B23" s="234"/>
      <c r="C23" s="234"/>
      <c r="D23" s="234"/>
      <c r="E23" s="234"/>
      <c r="F23" s="234"/>
      <c r="G23" s="235">
        <f>SUM(G6:G11)+G4+G16+G17</f>
        <v>391.1967806060606</v>
      </c>
      <c r="H23" s="235">
        <f>SUM(H6:H11)+H4+H16+H17</f>
        <v>148.7608290909091</v>
      </c>
      <c r="I23" s="236">
        <f>SUM(I6:I11)+I4+I16+I17</f>
        <v>56.121818181818185</v>
      </c>
    </row>
    <row r="24" spans="1:9" ht="13.5" thickBot="1">
      <c r="A24" s="206" t="s">
        <v>248</v>
      </c>
      <c r="B24" s="234"/>
      <c r="C24" s="234"/>
      <c r="D24" s="234"/>
      <c r="E24" s="234"/>
      <c r="F24" s="234"/>
      <c r="G24" s="235">
        <f>G5</f>
        <v>373.2</v>
      </c>
      <c r="H24" s="235">
        <f>H5</f>
        <v>186.6</v>
      </c>
      <c r="I24" s="236">
        <f>I5</f>
        <v>160</v>
      </c>
    </row>
  </sheetData>
  <hyperlinks>
    <hyperlink ref="E6" r:id="rId1" display="http://www.baesystems.com/BAEProd/groups/public/documents/bae_publication/bae_pdf_eis_lp_prom.pdf"/>
    <hyperlink ref="E7" r:id="rId2" display="http://www.maxwell.com/microelectronics/products/_components/memory/28LV010/description.html"/>
    <hyperlink ref="E4" r:id="rId3" display="http://www.actel.com/products/milaero/rtaxs/default.aspx"/>
    <hyperlink ref="E8" r:id="rId4" display="http://www.honeywell.com/sites/servlet/com.merx.npoint.servlets.DocumentServlet?docid=DC779DB21-BFD8-4896-C576-AAC548733FA3"/>
    <hyperlink ref="E9" r:id="rId5" display="http://www.3d-plus.com/PDF/Memorymodule/SDRAM/MMSD08256808S-C_2.pdf"/>
    <hyperlink ref="E10" r:id="rId6" display="http://www.3d-plus.com/PDF/Memorymodule/FLASH/MMFN08408808S-F_2.pdf"/>
    <hyperlink ref="E11" r:id="rId7" display="http://focus.ti.com/lit/ds/symlink/sn54lvth162244.pdf"/>
    <hyperlink ref="E12" r:id="rId8" display="http://www.linear.com/pc/productDetail.jsp?navId=H0,C1,C1155,C1001,C1158,P1629"/>
    <hyperlink ref="E16" r:id="rId9" display="http://www.ams.aeroflex.com/ProductFiles/DataSheets/LVDS/LVDSReceiver3v.pdf"/>
    <hyperlink ref="E17" r:id="rId10" display="http://www.ams.aeroflex.com/ProductFiles/DataSheets/LVDS/LVDSDriver3V.pdf"/>
    <hyperlink ref="E14" r:id="rId11" display="http://www.intersil.com/cda/deviceinfo/0,0,HS-508BRH,0.html"/>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9"/>
  <sheetViews>
    <sheetView workbookViewId="0" topLeftCell="A1">
      <selection activeCell="B9" sqref="B9"/>
    </sheetView>
  </sheetViews>
  <sheetFormatPr defaultColWidth="9.140625" defaultRowHeight="12.75"/>
  <cols>
    <col min="1" max="1" width="13.2812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355" t="s">
        <v>0</v>
      </c>
      <c r="B5" s="356" t="s">
        <v>17</v>
      </c>
      <c r="C5" s="357" t="s">
        <v>334</v>
      </c>
      <c r="D5" s="356" t="s">
        <v>132</v>
      </c>
      <c r="E5" s="356" t="s">
        <v>19</v>
      </c>
      <c r="F5" s="356" t="s">
        <v>20</v>
      </c>
      <c r="G5" s="16"/>
      <c r="H5" s="32"/>
      <c r="I5" s="8" t="s">
        <v>25</v>
      </c>
      <c r="J5" s="7"/>
    </row>
    <row r="6" spans="1:10" ht="12.75">
      <c r="A6" s="346" t="s">
        <v>5</v>
      </c>
      <c r="B6" s="347">
        <f>'Detail 2010-05-25'!E15</f>
        <v>1.9029999999999996</v>
      </c>
      <c r="C6" s="348">
        <f aca="true" t="shared" si="0" ref="C6:C23">(D6-B6)/B6</f>
        <v>-0.027850761954807936</v>
      </c>
      <c r="D6" s="347">
        <v>1.85</v>
      </c>
      <c r="E6" s="347"/>
      <c r="F6" s="347">
        <v>0</v>
      </c>
      <c r="G6" s="16"/>
      <c r="H6" s="28"/>
      <c r="I6" s="19" t="s">
        <v>368</v>
      </c>
      <c r="J6" s="13"/>
    </row>
    <row r="7" spans="1:10" ht="12.75">
      <c r="A7" s="346" t="s">
        <v>6</v>
      </c>
      <c r="B7" s="347">
        <f>'Detail 2010-05-25'!E14</f>
        <v>1.504536</v>
      </c>
      <c r="C7" s="348">
        <f t="shared" si="0"/>
        <v>0.21525008374674964</v>
      </c>
      <c r="D7" s="347">
        <v>1.8283874999999998</v>
      </c>
      <c r="E7" s="347"/>
      <c r="F7" s="347">
        <v>0</v>
      </c>
      <c r="G7" s="16"/>
      <c r="H7" s="28"/>
      <c r="I7" s="19" t="s">
        <v>364</v>
      </c>
      <c r="J7" s="13"/>
    </row>
    <row r="8" spans="1:10" ht="12.75">
      <c r="A8" s="346" t="s">
        <v>359</v>
      </c>
      <c r="B8" s="347">
        <f>'Detail 2010-05-25'!E18</f>
        <v>1.2375791999999999</v>
      </c>
      <c r="C8" s="348">
        <f t="shared" si="0"/>
        <v>0.6887808069172462</v>
      </c>
      <c r="D8" s="347">
        <v>2.09</v>
      </c>
      <c r="E8" s="347"/>
      <c r="F8" s="347">
        <v>0</v>
      </c>
      <c r="G8" s="16"/>
      <c r="H8" s="28"/>
      <c r="I8" s="19" t="s">
        <v>364</v>
      </c>
      <c r="J8" s="13"/>
    </row>
    <row r="9" spans="1:10" ht="12.75">
      <c r="A9" s="346" t="s">
        <v>378</v>
      </c>
      <c r="B9" s="347">
        <f>'Detail 2010-05-25'!I19+'Detail 2010-05-25'!E16</f>
        <v>4.5883437050526314</v>
      </c>
      <c r="C9" s="348">
        <f t="shared" si="0"/>
        <v>-0.020737184084063342</v>
      </c>
      <c r="D9" s="347">
        <v>4.493194377000002</v>
      </c>
      <c r="E9" s="347"/>
      <c r="F9" s="347">
        <v>0</v>
      </c>
      <c r="G9" s="16"/>
      <c r="H9" s="28"/>
      <c r="I9" s="19" t="s">
        <v>365</v>
      </c>
      <c r="J9" s="13"/>
    </row>
    <row r="10" spans="1:10" ht="12.75">
      <c r="A10" s="346" t="s">
        <v>379</v>
      </c>
      <c r="B10" s="347">
        <f>'Detail 2010-05-25'!I20+'Detail 2010-05-25'!E16</f>
        <v>4.505954477052631</v>
      </c>
      <c r="C10" s="348">
        <f t="shared" si="0"/>
        <v>-0.0028318306626514893</v>
      </c>
      <c r="D10" s="347">
        <v>4.493194377000002</v>
      </c>
      <c r="E10" s="347"/>
      <c r="F10" s="347"/>
      <c r="G10" s="16"/>
      <c r="H10" s="28"/>
      <c r="I10" s="19"/>
      <c r="J10" s="13"/>
    </row>
    <row r="11" spans="1:10" ht="12.75">
      <c r="A11" s="346" t="s">
        <v>380</v>
      </c>
      <c r="B11" s="347">
        <f>'Detail 2010-05-25'!I21+'Detail 2010-05-25'!E16</f>
        <v>4.725659085052631</v>
      </c>
      <c r="C11" s="348">
        <f t="shared" si="0"/>
        <v>-0.04919201827061974</v>
      </c>
      <c r="D11" s="347">
        <v>4.493194377000002</v>
      </c>
      <c r="E11" s="347"/>
      <c r="F11" s="347"/>
      <c r="G11" s="16"/>
      <c r="H11" s="28"/>
      <c r="I11" s="19"/>
      <c r="J11" s="13"/>
    </row>
    <row r="12" spans="1:10" ht="12.75">
      <c r="A12" s="346" t="s">
        <v>381</v>
      </c>
      <c r="B12" s="347">
        <f>'Detail 2010-05-25'!I22+'Detail 2010-05-25'!E16</f>
        <v>4.945363693052631</v>
      </c>
      <c r="C12" s="348">
        <f t="shared" si="0"/>
        <v>-0.09143297523048662</v>
      </c>
      <c r="D12" s="347">
        <v>4.493194377000002</v>
      </c>
      <c r="E12" s="347"/>
      <c r="F12" s="347"/>
      <c r="G12" s="16"/>
      <c r="H12" s="28"/>
      <c r="I12" s="19"/>
      <c r="J12" s="13"/>
    </row>
    <row r="13" spans="1:10" ht="12.75">
      <c r="A13" s="349" t="s">
        <v>31</v>
      </c>
      <c r="B13" s="350">
        <f>SUM(B6:B9)</f>
        <v>9.23345890505263</v>
      </c>
      <c r="C13" s="348">
        <f>(D13-B13)/B13</f>
        <v>0.1113475440265156</v>
      </c>
      <c r="D13" s="350">
        <f>SUM(D6:D9)</f>
        <v>10.261581877000001</v>
      </c>
      <c r="E13" s="347">
        <f>'Detail 2009-04-03'!C28</f>
        <v>1.0533181818181818</v>
      </c>
      <c r="F13" s="350"/>
      <c r="G13" s="16"/>
      <c r="H13" s="28"/>
      <c r="I13" s="19"/>
      <c r="J13" s="13"/>
    </row>
    <row r="14" spans="1:10" ht="12.75">
      <c r="A14" s="349" t="s">
        <v>383</v>
      </c>
      <c r="B14" s="350">
        <f>SUM($B$6:$B$8)+B10</f>
        <v>9.15106967705263</v>
      </c>
      <c r="C14" s="348"/>
      <c r="D14" s="350"/>
      <c r="E14" s="347"/>
      <c r="F14" s="350"/>
      <c r="G14" s="16"/>
      <c r="H14" s="28"/>
      <c r="I14" s="19"/>
      <c r="J14" s="13"/>
    </row>
    <row r="15" spans="1:10" ht="12.75">
      <c r="A15" s="349" t="s">
        <v>384</v>
      </c>
      <c r="B15" s="350">
        <f>SUM($B$6:$B$8)+B11</f>
        <v>9.37077428505263</v>
      </c>
      <c r="C15" s="348"/>
      <c r="D15" s="350"/>
      <c r="E15" s="347"/>
      <c r="F15" s="350"/>
      <c r="G15" s="16"/>
      <c r="H15" s="28"/>
      <c r="I15" s="19"/>
      <c r="J15" s="13"/>
    </row>
    <row r="16" spans="1:10" ht="12.75">
      <c r="A16" s="349" t="s">
        <v>385</v>
      </c>
      <c r="B16" s="350">
        <f>SUM($B$6:$B$8)+B12</f>
        <v>9.59047889305263</v>
      </c>
      <c r="C16" s="348"/>
      <c r="D16" s="350"/>
      <c r="E16" s="347"/>
      <c r="F16" s="350"/>
      <c r="G16" s="16"/>
      <c r="H16" s="28"/>
      <c r="I16" s="19"/>
      <c r="J16" s="13"/>
    </row>
    <row r="17" spans="1:10" ht="12.75">
      <c r="A17" s="349" t="s">
        <v>22</v>
      </c>
      <c r="B17" s="347">
        <f>SUM('Detail 2010-04-08'!E7:E10)</f>
        <v>0.48</v>
      </c>
      <c r="C17" s="348">
        <f t="shared" si="0"/>
        <v>0.25</v>
      </c>
      <c r="D17" s="347">
        <v>0.6</v>
      </c>
      <c r="E17" s="347">
        <v>2</v>
      </c>
      <c r="F17" s="347">
        <v>0</v>
      </c>
      <c r="G17" s="16"/>
      <c r="H17" s="28"/>
      <c r="I17" s="19" t="s">
        <v>366</v>
      </c>
      <c r="J17" s="13"/>
    </row>
    <row r="18" spans="1:10" ht="12.75">
      <c r="A18" s="385" t="s">
        <v>23</v>
      </c>
      <c r="B18" s="386">
        <f>SUM('Detail 2010-04-08'!E11:E12)</f>
        <v>0.24</v>
      </c>
      <c r="C18" s="387">
        <f t="shared" si="0"/>
        <v>0.25</v>
      </c>
      <c r="D18" s="386">
        <v>0.3</v>
      </c>
      <c r="E18" s="386">
        <v>2.25</v>
      </c>
      <c r="F18" s="386">
        <v>0</v>
      </c>
      <c r="G18" s="16"/>
      <c r="H18" s="28"/>
      <c r="I18" s="19" t="s">
        <v>324</v>
      </c>
      <c r="J18" s="13"/>
    </row>
    <row r="19" spans="1:10" ht="12.75">
      <c r="A19" s="385"/>
      <c r="B19" s="386"/>
      <c r="C19" s="387"/>
      <c r="D19" s="386"/>
      <c r="E19" s="386"/>
      <c r="F19" s="386"/>
      <c r="G19" s="16"/>
      <c r="H19" s="28"/>
      <c r="I19" s="19"/>
      <c r="J19" s="13"/>
    </row>
    <row r="20" spans="1:10" ht="12.75">
      <c r="A20" s="388" t="s">
        <v>386</v>
      </c>
      <c r="B20" s="350">
        <f>SUM(B13+$B$17+$B$18)</f>
        <v>9.953458905052631</v>
      </c>
      <c r="C20" s="348">
        <f t="shared" si="0"/>
        <v>0.12114087317368458</v>
      </c>
      <c r="D20" s="350">
        <v>11.159229607909094</v>
      </c>
      <c r="E20" s="347"/>
      <c r="F20" s="347"/>
      <c r="G20" s="16"/>
      <c r="H20" s="28"/>
      <c r="I20" s="15"/>
      <c r="J20" s="13"/>
    </row>
    <row r="21" spans="1:10" ht="12.75">
      <c r="A21" s="388" t="s">
        <v>387</v>
      </c>
      <c r="B21" s="350">
        <f>SUM(B14+$B$17+$B$18)</f>
        <v>9.871069677052631</v>
      </c>
      <c r="C21" s="348">
        <f>(D21-B21)/B21</f>
        <v>0.13049851464943663</v>
      </c>
      <c r="D21" s="350">
        <v>11.159229607909094</v>
      </c>
      <c r="E21" s="347"/>
      <c r="F21" s="347"/>
      <c r="G21" s="16"/>
      <c r="H21" s="28"/>
      <c r="I21" s="15"/>
      <c r="J21" s="13"/>
    </row>
    <row r="22" spans="1:10" ht="12.75">
      <c r="A22" s="388" t="s">
        <v>388</v>
      </c>
      <c r="B22" s="350">
        <f>SUM(B15+$B$17+$B$18)</f>
        <v>10.09077428505263</v>
      </c>
      <c r="C22" s="348">
        <f t="shared" si="0"/>
        <v>0.1058843744467812</v>
      </c>
      <c r="D22" s="350">
        <v>11.159229607909094</v>
      </c>
      <c r="E22" s="347"/>
      <c r="F22" s="347"/>
      <c r="G22" s="16"/>
      <c r="H22" s="28"/>
      <c r="I22" s="15"/>
      <c r="J22" s="13"/>
    </row>
    <row r="23" spans="1:10" ht="12.75">
      <c r="A23" s="388" t="s">
        <v>389</v>
      </c>
      <c r="B23" s="350">
        <f>SUM(B16+$B$17+$B$18)</f>
        <v>10.31047889305263</v>
      </c>
      <c r="C23" s="348">
        <f t="shared" si="0"/>
        <v>0.08231923305020923</v>
      </c>
      <c r="D23" s="350">
        <v>11.159229607909094</v>
      </c>
      <c r="E23" s="347"/>
      <c r="F23" s="347"/>
      <c r="G23" s="16"/>
      <c r="H23" s="28"/>
      <c r="I23" s="15"/>
      <c r="J23" s="13"/>
    </row>
    <row r="24" spans="7:8" ht="12.75">
      <c r="G24" s="16"/>
      <c r="H24" s="31"/>
    </row>
    <row r="25" ht="12.75">
      <c r="H25" s="31"/>
    </row>
    <row r="26" ht="12.75">
      <c r="A26" t="s">
        <v>35</v>
      </c>
    </row>
    <row r="27" ht="12.75">
      <c r="A27" t="s">
        <v>329</v>
      </c>
    </row>
    <row r="28" ht="12.75">
      <c r="A28" t="s">
        <v>360</v>
      </c>
    </row>
    <row r="29" ht="12.75">
      <c r="A29" t="s">
        <v>328</v>
      </c>
    </row>
    <row r="30" ht="12.75">
      <c r="A30" s="282" t="s">
        <v>269</v>
      </c>
    </row>
    <row r="31" ht="12.75">
      <c r="A31" s="282" t="s">
        <v>266</v>
      </c>
    </row>
    <row r="49" ht="12.75">
      <c r="D49" s="2"/>
    </row>
  </sheetData>
  <printOptions/>
  <pageMargins left="0.75" right="0.75" top="1" bottom="1" header="0.5" footer="0.5"/>
  <pageSetup horizontalDpi="600" verticalDpi="600" orientation="landscape" r:id="rId1"/>
  <headerFooter alignWithMargins="0">
    <oddFooter>&amp;L&amp;D &amp;T&amp;R&amp;F &amp;A</oddFooter>
  </headerFooter>
  <ignoredErrors>
    <ignoredError sqref="C13" formula="1"/>
    <ignoredError sqref="D13" formulaRange="1"/>
  </ignoredErrors>
</worksheet>
</file>

<file path=xl/worksheets/sheet40.xml><?xml version="1.0" encoding="utf-8"?>
<worksheet xmlns="http://schemas.openxmlformats.org/spreadsheetml/2006/main" xmlns:r="http://schemas.openxmlformats.org/officeDocument/2006/relationships">
  <dimension ref="A1:L24"/>
  <sheetViews>
    <sheetView zoomScale="70" zoomScaleNormal="70" workbookViewId="0" topLeftCell="A1">
      <selection activeCell="H24" sqref="H24"/>
    </sheetView>
  </sheetViews>
  <sheetFormatPr defaultColWidth="9.140625" defaultRowHeight="12.75"/>
  <cols>
    <col min="1" max="1" width="22.57421875" style="0" customWidth="1"/>
    <col min="2" max="2" width="14.57421875" style="0" customWidth="1"/>
    <col min="3" max="3" width="22.421875" style="0" customWidth="1"/>
    <col min="5" max="5" width="32.00390625" style="0" customWidth="1"/>
    <col min="6" max="6" width="11.57421875" style="0" customWidth="1"/>
    <col min="7" max="7" width="16.00390625" style="0" customWidth="1"/>
    <col min="8" max="8" width="13.8515625" style="0" customWidth="1"/>
    <col min="9" max="9" width="18.8515625" style="0" customWidth="1"/>
    <col min="10" max="10" width="19.421875" style="0" customWidth="1"/>
    <col min="11" max="11" width="22.8515625" style="0" customWidth="1"/>
    <col min="12" max="12" width="45.28125" style="0" customWidth="1"/>
  </cols>
  <sheetData>
    <row r="1" spans="1:2" ht="13.5" thickBot="1">
      <c r="A1" s="206" t="s">
        <v>183</v>
      </c>
      <c r="B1" s="188">
        <f>2^24/1000000</f>
        <v>16.777216</v>
      </c>
    </row>
    <row r="2" ht="13.5" thickBot="1"/>
    <row r="3" spans="1:12" ht="13.5" thickBot="1">
      <c r="A3" s="208" t="s">
        <v>184</v>
      </c>
      <c r="B3" s="209" t="s">
        <v>185</v>
      </c>
      <c r="C3" s="210" t="s">
        <v>186</v>
      </c>
      <c r="D3" s="210" t="s">
        <v>187</v>
      </c>
      <c r="E3" s="210" t="s">
        <v>188</v>
      </c>
      <c r="F3" s="211" t="s">
        <v>189</v>
      </c>
      <c r="G3" s="211" t="s">
        <v>190</v>
      </c>
      <c r="H3" s="211" t="s">
        <v>191</v>
      </c>
      <c r="I3" s="211" t="s">
        <v>192</v>
      </c>
      <c r="J3" s="211" t="s">
        <v>193</v>
      </c>
      <c r="K3" s="211" t="s">
        <v>194</v>
      </c>
      <c r="L3" s="212" t="s">
        <v>195</v>
      </c>
    </row>
    <row r="4" spans="1:12" ht="12.75">
      <c r="A4" s="213" t="s">
        <v>196</v>
      </c>
      <c r="B4" s="214" t="s">
        <v>197</v>
      </c>
      <c r="C4" s="215" t="s">
        <v>198</v>
      </c>
      <c r="D4" s="215">
        <v>1</v>
      </c>
      <c r="E4" s="216" t="s">
        <v>199</v>
      </c>
      <c r="F4" s="215">
        <v>3.3</v>
      </c>
      <c r="G4" s="217">
        <v>35</v>
      </c>
      <c r="H4" s="217">
        <f>(81+33)/3.3</f>
        <v>34.54545454545455</v>
      </c>
      <c r="I4" s="217">
        <v>10</v>
      </c>
      <c r="J4" s="217">
        <f aca="true" t="shared" si="0" ref="J4:K10">G4*$F4</f>
        <v>115.5</v>
      </c>
      <c r="K4" s="217">
        <f t="shared" si="0"/>
        <v>114</v>
      </c>
      <c r="L4" s="218" t="s">
        <v>200</v>
      </c>
    </row>
    <row r="5" spans="1:12" ht="12.75">
      <c r="A5" s="219"/>
      <c r="B5" s="220"/>
      <c r="C5" s="20" t="str">
        <f>C4</f>
        <v>RTAX2000S</v>
      </c>
      <c r="D5" s="20">
        <v>1</v>
      </c>
      <c r="E5" s="20"/>
      <c r="F5" s="20">
        <v>1.5</v>
      </c>
      <c r="G5" s="221">
        <f>2*H5</f>
        <v>214.66666666666666</v>
      </c>
      <c r="H5" s="221">
        <f>161/1.5</f>
        <v>107.33333333333333</v>
      </c>
      <c r="I5" s="221">
        <v>57</v>
      </c>
      <c r="J5" s="221">
        <f t="shared" si="0"/>
        <v>322</v>
      </c>
      <c r="K5" s="221">
        <f t="shared" si="0"/>
        <v>161</v>
      </c>
      <c r="L5" s="222"/>
    </row>
    <row r="6" spans="1:12" ht="12.75">
      <c r="A6" s="219" t="s">
        <v>201</v>
      </c>
      <c r="B6" s="220" t="s">
        <v>202</v>
      </c>
      <c r="C6" s="20" t="s">
        <v>203</v>
      </c>
      <c r="D6" s="20">
        <v>1</v>
      </c>
      <c r="E6" s="223" t="s">
        <v>204</v>
      </c>
      <c r="F6" s="20">
        <v>3.3</v>
      </c>
      <c r="G6" s="221">
        <f>(15*B1/4)/F6</f>
        <v>19.065018181818182</v>
      </c>
      <c r="H6" s="221">
        <v>2</v>
      </c>
      <c r="I6" s="221">
        <v>2</v>
      </c>
      <c r="J6" s="221">
        <f t="shared" si="0"/>
        <v>62.914559999999994</v>
      </c>
      <c r="K6" s="221">
        <f t="shared" si="0"/>
        <v>6.6</v>
      </c>
      <c r="L6" s="222"/>
    </row>
    <row r="7" spans="1:12" ht="12.75">
      <c r="A7" s="219" t="s">
        <v>205</v>
      </c>
      <c r="B7" s="220" t="s">
        <v>206</v>
      </c>
      <c r="C7" s="20" t="s">
        <v>207</v>
      </c>
      <c r="D7" s="20">
        <v>1</v>
      </c>
      <c r="E7" s="223" t="s">
        <v>208</v>
      </c>
      <c r="F7" s="20">
        <v>3.3</v>
      </c>
      <c r="G7" s="221">
        <f>(20*B1/4)/F7</f>
        <v>25.42002424242424</v>
      </c>
      <c r="H7" s="221">
        <f>I7</f>
        <v>0.021818181818181816</v>
      </c>
      <c r="I7" s="221">
        <f>0.072/F7</f>
        <v>0.021818181818181816</v>
      </c>
      <c r="J7" s="221">
        <f t="shared" si="0"/>
        <v>83.88607999999999</v>
      </c>
      <c r="K7" s="221">
        <f t="shared" si="0"/>
        <v>0.072</v>
      </c>
      <c r="L7" s="222" t="s">
        <v>209</v>
      </c>
    </row>
    <row r="8" spans="1:12" ht="12.75">
      <c r="A8" s="219" t="s">
        <v>210</v>
      </c>
      <c r="B8" s="220" t="s">
        <v>211</v>
      </c>
      <c r="C8" s="20" t="s">
        <v>212</v>
      </c>
      <c r="D8" s="20">
        <v>1</v>
      </c>
      <c r="E8" s="223" t="s">
        <v>213</v>
      </c>
      <c r="F8" s="20">
        <v>3.3</v>
      </c>
      <c r="G8" s="221">
        <f>H8</f>
        <v>36.43901090909091</v>
      </c>
      <c r="H8" s="221">
        <f>I8+((9*B1/4)/3.3)</f>
        <v>36.43901090909091</v>
      </c>
      <c r="I8" s="221">
        <v>25</v>
      </c>
      <c r="J8" s="221">
        <f t="shared" si="0"/>
        <v>120.248736</v>
      </c>
      <c r="K8" s="221">
        <f t="shared" si="0"/>
        <v>120.248736</v>
      </c>
      <c r="L8" s="222"/>
    </row>
    <row r="9" spans="1:12" ht="12.75">
      <c r="A9" s="219" t="s">
        <v>171</v>
      </c>
      <c r="B9" s="220" t="s">
        <v>214</v>
      </c>
      <c r="C9" s="20" t="s">
        <v>215</v>
      </c>
      <c r="D9" s="20">
        <v>1</v>
      </c>
      <c r="E9" s="223" t="s">
        <v>216</v>
      </c>
      <c r="F9" s="20">
        <v>3.3</v>
      </c>
      <c r="G9" s="221">
        <v>200</v>
      </c>
      <c r="H9" s="221">
        <v>50</v>
      </c>
      <c r="I9" s="221">
        <v>0</v>
      </c>
      <c r="J9" s="221">
        <f t="shared" si="0"/>
        <v>660</v>
      </c>
      <c r="K9" s="221">
        <f t="shared" si="0"/>
        <v>165</v>
      </c>
      <c r="L9" s="222" t="s">
        <v>217</v>
      </c>
    </row>
    <row r="10" spans="1:12" ht="12.75">
      <c r="A10" s="219" t="s">
        <v>218</v>
      </c>
      <c r="B10" s="220" t="s">
        <v>214</v>
      </c>
      <c r="C10" s="20" t="s">
        <v>219</v>
      </c>
      <c r="D10" s="20">
        <v>32</v>
      </c>
      <c r="E10" s="223" t="s">
        <v>220</v>
      </c>
      <c r="F10" s="20">
        <v>3.3</v>
      </c>
      <c r="G10" s="221">
        <f>7*8+40</f>
        <v>96</v>
      </c>
      <c r="H10" s="221">
        <f>8*8</f>
        <v>64</v>
      </c>
      <c r="I10" s="221">
        <v>0</v>
      </c>
      <c r="J10" s="221">
        <f t="shared" si="0"/>
        <v>316.79999999999995</v>
      </c>
      <c r="K10" s="221">
        <f t="shared" si="0"/>
        <v>211.2</v>
      </c>
      <c r="L10" s="222" t="s">
        <v>249</v>
      </c>
    </row>
    <row r="11" spans="1:12" ht="12.75">
      <c r="A11" s="219" t="s">
        <v>221</v>
      </c>
      <c r="B11" s="220" t="s">
        <v>222</v>
      </c>
      <c r="C11" s="20" t="s">
        <v>222</v>
      </c>
      <c r="D11" s="20">
        <v>1</v>
      </c>
      <c r="E11" s="223"/>
      <c r="F11" s="20">
        <v>3.3</v>
      </c>
      <c r="G11" s="221"/>
      <c r="H11" s="221"/>
      <c r="I11" s="221"/>
      <c r="J11" s="221"/>
      <c r="K11" s="221"/>
      <c r="L11" s="222" t="s">
        <v>223</v>
      </c>
    </row>
    <row r="12" spans="1:12" ht="12.75">
      <c r="A12" s="219" t="s">
        <v>224</v>
      </c>
      <c r="B12" s="220" t="s">
        <v>225</v>
      </c>
      <c r="C12" s="20" t="s">
        <v>226</v>
      </c>
      <c r="D12" s="20">
        <f>3+2*8</f>
        <v>19</v>
      </c>
      <c r="E12" s="223" t="s">
        <v>227</v>
      </c>
      <c r="F12" s="20">
        <v>3.3</v>
      </c>
      <c r="G12" s="221">
        <f>5*D12</f>
        <v>95</v>
      </c>
      <c r="H12" s="221">
        <f>1*D12</f>
        <v>19</v>
      </c>
      <c r="I12" s="221">
        <f>1.9*D12</f>
        <v>36.1</v>
      </c>
      <c r="J12" s="221">
        <f>G12*$F12</f>
        <v>313.5</v>
      </c>
      <c r="K12" s="221">
        <f>H12*$F12</f>
        <v>62.699999999999996</v>
      </c>
      <c r="L12" s="222" t="s">
        <v>228</v>
      </c>
    </row>
    <row r="13" spans="1:12" ht="12.75">
      <c r="A13" s="219" t="s">
        <v>229</v>
      </c>
      <c r="B13" s="220" t="s">
        <v>222</v>
      </c>
      <c r="C13" s="20" t="s">
        <v>222</v>
      </c>
      <c r="D13" s="20" t="s">
        <v>222</v>
      </c>
      <c r="E13" s="20"/>
      <c r="F13" s="20">
        <v>5</v>
      </c>
      <c r="G13" s="221"/>
      <c r="H13" s="221"/>
      <c r="I13" s="221"/>
      <c r="J13" s="221"/>
      <c r="K13" s="221"/>
      <c r="L13" s="222" t="s">
        <v>230</v>
      </c>
    </row>
    <row r="14" spans="1:12" ht="12.75">
      <c r="A14" s="219" t="s">
        <v>231</v>
      </c>
      <c r="B14" s="220" t="s">
        <v>232</v>
      </c>
      <c r="C14" s="20" t="s">
        <v>233</v>
      </c>
      <c r="D14" s="20">
        <v>1</v>
      </c>
      <c r="E14" s="223" t="s">
        <v>234</v>
      </c>
      <c r="F14" s="20" t="s">
        <v>235</v>
      </c>
      <c r="G14" s="20"/>
      <c r="H14" s="20"/>
      <c r="I14" s="20"/>
      <c r="J14" s="20">
        <v>12</v>
      </c>
      <c r="K14" s="20">
        <v>8</v>
      </c>
      <c r="L14" s="222"/>
    </row>
    <row r="15" spans="1:12" ht="12.75">
      <c r="A15" s="219" t="s">
        <v>236</v>
      </c>
      <c r="B15" s="220"/>
      <c r="C15" s="20"/>
      <c r="D15" s="20">
        <v>1</v>
      </c>
      <c r="E15" s="223" t="s">
        <v>237</v>
      </c>
      <c r="F15" s="20" t="s">
        <v>238</v>
      </c>
      <c r="G15" s="20"/>
      <c r="H15" s="20"/>
      <c r="I15" s="20"/>
      <c r="J15" s="20"/>
      <c r="K15" s="20"/>
      <c r="L15" s="222"/>
    </row>
    <row r="16" spans="1:12" ht="12.75">
      <c r="A16" s="224" t="s">
        <v>239</v>
      </c>
      <c r="B16" s="225" t="s">
        <v>240</v>
      </c>
      <c r="C16" s="226" t="s">
        <v>241</v>
      </c>
      <c r="D16" s="20">
        <v>1</v>
      </c>
      <c r="E16" s="223" t="s">
        <v>242</v>
      </c>
      <c r="F16" s="20">
        <v>3.3</v>
      </c>
      <c r="G16" s="20">
        <f>H16</f>
        <v>15</v>
      </c>
      <c r="H16" s="20">
        <v>15</v>
      </c>
      <c r="I16" s="20">
        <v>4</v>
      </c>
      <c r="J16" s="221">
        <f>G16*$F16</f>
        <v>49.5</v>
      </c>
      <c r="K16" s="221">
        <f>H16*$F16</f>
        <v>49.5</v>
      </c>
      <c r="L16" s="222"/>
    </row>
    <row r="17" spans="1:12" ht="13.5" thickBot="1">
      <c r="A17" s="227" t="s">
        <v>243</v>
      </c>
      <c r="B17" s="228" t="s">
        <v>240</v>
      </c>
      <c r="C17" s="229" t="s">
        <v>244</v>
      </c>
      <c r="D17" s="230">
        <v>1</v>
      </c>
      <c r="E17" s="231" t="s">
        <v>245</v>
      </c>
      <c r="F17" s="230">
        <v>3.3</v>
      </c>
      <c r="G17" s="230">
        <f>H17</f>
        <v>18</v>
      </c>
      <c r="H17" s="230">
        <v>18</v>
      </c>
      <c r="I17" s="230">
        <v>3</v>
      </c>
      <c r="J17" s="232">
        <f>G17*$F17</f>
        <v>59.4</v>
      </c>
      <c r="K17" s="232">
        <f>H17*$F17</f>
        <v>59.4</v>
      </c>
      <c r="L17" s="233"/>
    </row>
    <row r="21" ht="13.5" thickBot="1"/>
    <row r="22" spans="1:11" ht="13.5" thickBot="1">
      <c r="A22" s="206" t="s">
        <v>246</v>
      </c>
      <c r="B22" s="234"/>
      <c r="C22" s="234"/>
      <c r="D22" s="234"/>
      <c r="E22" s="234"/>
      <c r="F22" s="234"/>
      <c r="G22" s="235"/>
      <c r="H22" s="235"/>
      <c r="I22" s="235"/>
      <c r="J22" s="235">
        <f>SUM(J4:J17)</f>
        <v>2115.749376</v>
      </c>
      <c r="K22" s="235">
        <f>SUM(K4:K17)</f>
        <v>957.7207360000001</v>
      </c>
    </row>
    <row r="23" spans="1:9" ht="13.5" thickBot="1">
      <c r="A23" s="206" t="s">
        <v>247</v>
      </c>
      <c r="B23" s="234"/>
      <c r="C23" s="234"/>
      <c r="D23" s="234"/>
      <c r="E23" s="234"/>
      <c r="F23" s="234"/>
      <c r="G23" s="235">
        <f>SUM(G6:G12)+G4+G16+G17</f>
        <v>539.9240533333334</v>
      </c>
      <c r="H23" s="235">
        <f>SUM(H6:H12)+H4+H16+H17</f>
        <v>239.00628363636366</v>
      </c>
      <c r="I23" s="236">
        <f>SUM(I6:I12)+I4+I16+I17</f>
        <v>80.12181818181818</v>
      </c>
    </row>
    <row r="24" spans="1:9" ht="13.5" thickBot="1">
      <c r="A24" s="206" t="s">
        <v>248</v>
      </c>
      <c r="B24" s="234"/>
      <c r="C24" s="234"/>
      <c r="D24" s="234"/>
      <c r="E24" s="234"/>
      <c r="F24" s="234"/>
      <c r="G24" s="235">
        <f>G5</f>
        <v>214.66666666666666</v>
      </c>
      <c r="H24" s="235">
        <f>H5</f>
        <v>107.33333333333333</v>
      </c>
      <c r="I24" s="236">
        <f>I5</f>
        <v>57</v>
      </c>
    </row>
  </sheetData>
  <hyperlinks>
    <hyperlink ref="E6" r:id="rId1" display="http://www.baesystems.com/BAEProd/groups/public/documents/bae_publication/bae_pdf_eis_lp_prom.pdf"/>
    <hyperlink ref="E7" r:id="rId2" display="http://www.maxwell.com/microelectronics/products/_components/memory/28LV010/description.html"/>
    <hyperlink ref="E4" r:id="rId3" display="http://www.actel.com/products/milaero/rtaxs/default.aspx"/>
    <hyperlink ref="E8" r:id="rId4" display="http://www.honeywell.com/sites/servlet/com.merx.npoint.servlets.DocumentServlet?docid=DC779DB21-BFD8-4896-C576-AAC548733FA3"/>
    <hyperlink ref="E9" r:id="rId5" display="http://www.3d-plus.com/PDF/Memorymodule/SDRAM/MMSD08256808S-C_2.pdf"/>
    <hyperlink ref="E10" r:id="rId6" display="http://www.3d-plus.com/PDF/Memorymodule/FLASH/MMFN08408808S-F_2.pdf"/>
    <hyperlink ref="E12" r:id="rId7" display="http://focus.ti.com/lit/ds/symlink/sn54lvth162244.pdf"/>
    <hyperlink ref="E14" r:id="rId8" display="http://www.linear.com/pc/productDetail.jsp?navId=H0,C1,C1155,C1001,C1158,P1629"/>
    <hyperlink ref="E16" r:id="rId9" display="http://www.ams.aeroflex.com/ProductFiles/DataSheets/LVDS/LVDSReceiver3v.pdf"/>
    <hyperlink ref="E17" r:id="rId10" display="http://www.ams.aeroflex.com/ProductFiles/DataSheets/LVDS/LVDSDriver3V.pdf"/>
    <hyperlink ref="E15" r:id="rId11" display="http://www.intersil.com/cda/deviceinfo/0,0,HS-508BRH,0.html"/>
  </hyperlink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Y34"/>
  <sheetViews>
    <sheetView workbookViewId="0" topLeftCell="B7">
      <selection activeCell="F16" sqref="F16"/>
    </sheetView>
  </sheetViews>
  <sheetFormatPr defaultColWidth="9.140625" defaultRowHeight="12.75"/>
  <cols>
    <col min="1" max="1" width="24.28125" style="0" bestFit="1" customWidth="1"/>
    <col min="2" max="2" width="12.8515625" style="0" customWidth="1"/>
    <col min="3" max="3" width="5.421875" style="191" bestFit="1" customWidth="1"/>
    <col min="4" max="5" width="5.57421875" style="0" bestFit="1" customWidth="1"/>
    <col min="6" max="6" width="6.57421875" style="0" bestFit="1" customWidth="1"/>
    <col min="7" max="8" width="5.57421875" style="0" bestFit="1" customWidth="1"/>
    <col min="9" max="9" width="6.57421875" style="0" bestFit="1" customWidth="1"/>
    <col min="10" max="11" width="5.57421875" style="0" bestFit="1" customWidth="1"/>
    <col min="12" max="12" width="6.57421875" style="0" bestFit="1" customWidth="1"/>
    <col min="13" max="14" width="5.57421875" style="0" bestFit="1" customWidth="1"/>
    <col min="15" max="15" width="6.57421875" style="0" bestFit="1" customWidth="1"/>
    <col min="16" max="17" width="5.57421875" style="0" bestFit="1" customWidth="1"/>
    <col min="18" max="21" width="6.57421875" style="0" bestFit="1" customWidth="1"/>
    <col min="22" max="23" width="5.57421875" style="0" customWidth="1"/>
    <col min="24" max="25" width="6.57421875" style="0" customWidth="1"/>
  </cols>
  <sheetData>
    <row r="1" spans="1:22" ht="12.75">
      <c r="A1" s="286" t="s">
        <v>278</v>
      </c>
      <c r="B1" s="285"/>
      <c r="C1" s="285"/>
      <c r="D1" s="285"/>
      <c r="E1" s="285"/>
      <c r="F1" s="285"/>
      <c r="G1" s="285"/>
      <c r="H1" s="285"/>
      <c r="I1" s="285"/>
      <c r="J1" s="285"/>
      <c r="K1" s="285"/>
      <c r="L1" s="285"/>
      <c r="M1" s="285"/>
      <c r="N1" s="285"/>
      <c r="O1" s="285"/>
      <c r="P1" s="285"/>
      <c r="Q1" s="285"/>
      <c r="R1" s="285"/>
      <c r="S1" s="285"/>
      <c r="T1" s="285"/>
      <c r="U1" s="285"/>
      <c r="V1" s="285"/>
    </row>
    <row r="3" spans="2:25" ht="12.75">
      <c r="B3" s="39"/>
      <c r="C3" s="287"/>
      <c r="D3" s="459" t="s">
        <v>279</v>
      </c>
      <c r="E3" s="459"/>
      <c r="F3" s="459"/>
      <c r="G3" s="459"/>
      <c r="H3" s="459"/>
      <c r="I3" s="459"/>
      <c r="J3" s="459"/>
      <c r="K3" s="459"/>
      <c r="L3" s="459"/>
      <c r="M3" s="459"/>
      <c r="N3" s="459"/>
      <c r="O3" s="459"/>
      <c r="P3" s="459"/>
      <c r="Q3" s="459"/>
      <c r="R3" s="459"/>
      <c r="S3" s="459"/>
      <c r="T3" s="459"/>
      <c r="U3" s="459"/>
      <c r="V3" s="433"/>
      <c r="W3" s="433"/>
      <c r="X3" s="433"/>
      <c r="Y3" s="39"/>
    </row>
    <row r="4" spans="2:25" ht="12.75">
      <c r="B4" s="39"/>
      <c r="C4" s="288"/>
      <c r="D4" s="451" t="s">
        <v>280</v>
      </c>
      <c r="E4" s="451"/>
      <c r="F4" s="451"/>
      <c r="G4" s="451"/>
      <c r="H4" s="451"/>
      <c r="I4" s="451"/>
      <c r="J4" s="451"/>
      <c r="K4" s="451"/>
      <c r="L4" s="451"/>
      <c r="M4" s="451"/>
      <c r="N4" s="451"/>
      <c r="O4" s="452"/>
      <c r="P4" s="456" t="s">
        <v>281</v>
      </c>
      <c r="Q4" s="457"/>
      <c r="R4" s="457"/>
      <c r="S4" s="457"/>
      <c r="T4" s="457"/>
      <c r="U4" s="457"/>
      <c r="V4" s="457"/>
      <c r="W4" s="457"/>
      <c r="X4" s="458"/>
      <c r="Y4" s="39"/>
    </row>
    <row r="5" spans="2:25" s="189" customFormat="1" ht="12.75">
      <c r="B5" s="289" t="s">
        <v>282</v>
      </c>
      <c r="C5" s="290" t="s">
        <v>283</v>
      </c>
      <c r="D5" s="453">
        <v>10</v>
      </c>
      <c r="E5" s="460"/>
      <c r="F5" s="461"/>
      <c r="G5" s="453">
        <v>-10</v>
      </c>
      <c r="H5" s="451"/>
      <c r="I5" s="452"/>
      <c r="J5" s="453">
        <v>5.5</v>
      </c>
      <c r="K5" s="451"/>
      <c r="L5" s="452"/>
      <c r="M5" s="462">
        <v>-5.5</v>
      </c>
      <c r="N5" s="459"/>
      <c r="O5" s="463"/>
      <c r="P5" s="453">
        <v>3.6</v>
      </c>
      <c r="Q5" s="451"/>
      <c r="R5" s="452"/>
      <c r="S5" s="453">
        <v>1.8</v>
      </c>
      <c r="T5" s="451"/>
      <c r="U5" s="452"/>
      <c r="V5" s="453">
        <v>5</v>
      </c>
      <c r="W5" s="454"/>
      <c r="X5" s="455"/>
      <c r="Y5" s="291" t="s">
        <v>284</v>
      </c>
    </row>
    <row r="6" spans="1:25" ht="12.75">
      <c r="A6" s="39"/>
      <c r="B6" s="292"/>
      <c r="C6" s="293"/>
      <c r="D6" s="30" t="s">
        <v>146</v>
      </c>
      <c r="E6" s="30" t="s">
        <v>146</v>
      </c>
      <c r="F6" s="294" t="s">
        <v>147</v>
      </c>
      <c r="G6" s="30" t="s">
        <v>146</v>
      </c>
      <c r="H6" s="30" t="s">
        <v>146</v>
      </c>
      <c r="I6" s="294" t="s">
        <v>147</v>
      </c>
      <c r="J6" s="30" t="s">
        <v>146</v>
      </c>
      <c r="K6" s="30" t="s">
        <v>146</v>
      </c>
      <c r="L6" s="294" t="s">
        <v>147</v>
      </c>
      <c r="M6" s="30" t="s">
        <v>146</v>
      </c>
      <c r="N6" s="30" t="s">
        <v>146</v>
      </c>
      <c r="O6" s="294" t="s">
        <v>147</v>
      </c>
      <c r="P6" s="30" t="s">
        <v>146</v>
      </c>
      <c r="Q6" s="30" t="s">
        <v>146</v>
      </c>
      <c r="R6" s="294" t="s">
        <v>147</v>
      </c>
      <c r="S6" s="30" t="s">
        <v>146</v>
      </c>
      <c r="T6" s="30" t="s">
        <v>146</v>
      </c>
      <c r="U6" s="294" t="s">
        <v>147</v>
      </c>
      <c r="V6" s="30" t="s">
        <v>146</v>
      </c>
      <c r="W6" s="30" t="s">
        <v>146</v>
      </c>
      <c r="X6" s="294" t="s">
        <v>147</v>
      </c>
      <c r="Y6" s="66" t="s">
        <v>147</v>
      </c>
    </row>
    <row r="7" spans="1:25" ht="12.75">
      <c r="A7" s="295" t="s">
        <v>148</v>
      </c>
      <c r="B7" s="292"/>
      <c r="C7" s="293"/>
      <c r="D7" s="296" t="s">
        <v>285</v>
      </c>
      <c r="E7" s="296" t="s">
        <v>2</v>
      </c>
      <c r="F7" s="297" t="s">
        <v>2</v>
      </c>
      <c r="G7" s="296" t="s">
        <v>285</v>
      </c>
      <c r="H7" s="296" t="s">
        <v>2</v>
      </c>
      <c r="I7" s="298" t="s">
        <v>2</v>
      </c>
      <c r="J7" s="296" t="s">
        <v>285</v>
      </c>
      <c r="K7" s="296" t="s">
        <v>2</v>
      </c>
      <c r="L7" s="298" t="s">
        <v>2</v>
      </c>
      <c r="M7" s="296" t="s">
        <v>285</v>
      </c>
      <c r="N7" s="296" t="s">
        <v>2</v>
      </c>
      <c r="O7" s="298" t="s">
        <v>2</v>
      </c>
      <c r="P7" s="296" t="s">
        <v>285</v>
      </c>
      <c r="Q7" s="296" t="s">
        <v>2</v>
      </c>
      <c r="R7" s="298" t="s">
        <v>2</v>
      </c>
      <c r="S7" s="296" t="s">
        <v>285</v>
      </c>
      <c r="T7" s="296" t="s">
        <v>2</v>
      </c>
      <c r="U7" s="298" t="s">
        <v>2</v>
      </c>
      <c r="V7" s="296" t="s">
        <v>285</v>
      </c>
      <c r="W7" s="296" t="s">
        <v>2</v>
      </c>
      <c r="X7" s="298" t="s">
        <v>2</v>
      </c>
      <c r="Y7" s="299"/>
    </row>
    <row r="8" spans="1:25" ht="12.75">
      <c r="A8" s="39" t="s">
        <v>286</v>
      </c>
      <c r="B8" s="292" t="s">
        <v>287</v>
      </c>
      <c r="C8" s="300">
        <v>54</v>
      </c>
      <c r="D8" s="301">
        <v>0.17</v>
      </c>
      <c r="E8" s="302">
        <f>D8*C8</f>
        <v>9.180000000000001</v>
      </c>
      <c r="F8" s="303">
        <f>D5*E8</f>
        <v>91.80000000000001</v>
      </c>
      <c r="G8" s="301">
        <v>0.17</v>
      </c>
      <c r="H8" s="302">
        <f>G8*C8</f>
        <v>9.180000000000001</v>
      </c>
      <c r="I8" s="303">
        <f>ABS(G5*H8)</f>
        <v>91.80000000000001</v>
      </c>
      <c r="J8" s="302"/>
      <c r="K8" s="302"/>
      <c r="L8" s="303">
        <f>J5*K8</f>
        <v>0</v>
      </c>
      <c r="M8" s="302"/>
      <c r="N8" s="302"/>
      <c r="O8" s="303">
        <f>ABS(M5*N8)</f>
        <v>0</v>
      </c>
      <c r="P8" s="302"/>
      <c r="Q8" s="302"/>
      <c r="R8" s="303">
        <f>P5*Q8</f>
        <v>0</v>
      </c>
      <c r="S8" s="302"/>
      <c r="T8" s="302"/>
      <c r="U8" s="303">
        <f>S5*T8</f>
        <v>0</v>
      </c>
      <c r="V8" s="302"/>
      <c r="W8" s="302"/>
      <c r="X8" s="303">
        <f>V5*W8</f>
        <v>0</v>
      </c>
      <c r="Y8" s="299">
        <f aca="true" t="shared" si="0" ref="Y8:Y19">F8+I8+L8+O8+R8+U8+X8</f>
        <v>183.60000000000002</v>
      </c>
    </row>
    <row r="9" spans="1:25" ht="12.75">
      <c r="A9" s="39" t="s">
        <v>288</v>
      </c>
      <c r="B9" s="292" t="s">
        <v>289</v>
      </c>
      <c r="C9" s="300">
        <v>18</v>
      </c>
      <c r="D9" s="302"/>
      <c r="E9" s="302"/>
      <c r="F9" s="303">
        <f>D5*E9</f>
        <v>0</v>
      </c>
      <c r="G9" s="302"/>
      <c r="H9" s="302"/>
      <c r="I9" s="303">
        <f>ABS(G5*H9)</f>
        <v>0</v>
      </c>
      <c r="J9" s="302">
        <v>0.5</v>
      </c>
      <c r="K9" s="302">
        <f>J9*C9</f>
        <v>9</v>
      </c>
      <c r="L9" s="303">
        <f>J5*K9</f>
        <v>49.5</v>
      </c>
      <c r="M9" s="302">
        <v>0.5</v>
      </c>
      <c r="N9" s="302">
        <f>M9*C9</f>
        <v>9</v>
      </c>
      <c r="O9" s="303">
        <f>ABS(M5*N9)</f>
        <v>49.5</v>
      </c>
      <c r="P9" s="302"/>
      <c r="Q9" s="302"/>
      <c r="R9" s="303">
        <f>P5*Q9</f>
        <v>0</v>
      </c>
      <c r="S9" s="302"/>
      <c r="T9" s="302"/>
      <c r="U9" s="303">
        <f>S5*T9</f>
        <v>0</v>
      </c>
      <c r="V9" s="302"/>
      <c r="W9" s="302"/>
      <c r="X9" s="303">
        <f>V5*W9</f>
        <v>0</v>
      </c>
      <c r="Y9" s="299">
        <f t="shared" si="0"/>
        <v>99</v>
      </c>
    </row>
    <row r="10" spans="1:25" ht="12.75">
      <c r="A10" s="39" t="s">
        <v>290</v>
      </c>
      <c r="B10" s="292" t="s">
        <v>287</v>
      </c>
      <c r="C10" s="300">
        <v>2</v>
      </c>
      <c r="D10" s="301"/>
      <c r="E10" s="302"/>
      <c r="F10" s="303">
        <f>D5*E10</f>
        <v>0</v>
      </c>
      <c r="G10" s="301"/>
      <c r="H10" s="302"/>
      <c r="I10" s="303">
        <f>ABS(G5*H10)</f>
        <v>0</v>
      </c>
      <c r="J10" s="302">
        <v>0.17</v>
      </c>
      <c r="K10" s="302">
        <f>J10*C10</f>
        <v>0.34</v>
      </c>
      <c r="L10" s="303">
        <f>J5*K10</f>
        <v>1.87</v>
      </c>
      <c r="M10" s="302">
        <v>0.17</v>
      </c>
      <c r="N10" s="302">
        <f>M10*C10</f>
        <v>0.34</v>
      </c>
      <c r="O10" s="303">
        <f>ABS(M5*N10)</f>
        <v>1.87</v>
      </c>
      <c r="P10" s="302"/>
      <c r="Q10" s="302"/>
      <c r="R10" s="303">
        <f>P5*Q10</f>
        <v>0</v>
      </c>
      <c r="S10" s="302"/>
      <c r="T10" s="302"/>
      <c r="U10" s="303">
        <f>S5*T10</f>
        <v>0</v>
      </c>
      <c r="V10" s="302"/>
      <c r="W10" s="302"/>
      <c r="X10" s="303">
        <f>V5*W10</f>
        <v>0</v>
      </c>
      <c r="Y10" s="299">
        <f t="shared" si="0"/>
        <v>3.74</v>
      </c>
    </row>
    <row r="11" spans="1:25" ht="12.75">
      <c r="A11" s="39" t="s">
        <v>291</v>
      </c>
      <c r="B11" s="292" t="s">
        <v>287</v>
      </c>
      <c r="C11" s="300">
        <v>18</v>
      </c>
      <c r="D11" s="301">
        <v>0.17</v>
      </c>
      <c r="E11" s="302">
        <f>D11*C11</f>
        <v>3.06</v>
      </c>
      <c r="F11" s="303">
        <f>D5*E11</f>
        <v>30.6</v>
      </c>
      <c r="G11" s="301">
        <v>0.17</v>
      </c>
      <c r="H11" s="302">
        <f>G11*C11</f>
        <v>3.06</v>
      </c>
      <c r="I11" s="303">
        <f>ABS(G5*H11)</f>
        <v>30.6</v>
      </c>
      <c r="J11" s="302"/>
      <c r="K11" s="302"/>
      <c r="L11" s="303">
        <f>J5*K11</f>
        <v>0</v>
      </c>
      <c r="M11" s="302"/>
      <c r="N11" s="302"/>
      <c r="O11" s="303">
        <f>ABS(M5*N11)</f>
        <v>0</v>
      </c>
      <c r="P11" s="302"/>
      <c r="Q11" s="302"/>
      <c r="R11" s="303">
        <f>P5*Q11</f>
        <v>0</v>
      </c>
      <c r="S11" s="302"/>
      <c r="T11" s="302"/>
      <c r="U11" s="303">
        <f>S5*T11</f>
        <v>0</v>
      </c>
      <c r="V11" s="302"/>
      <c r="W11" s="302"/>
      <c r="X11" s="303">
        <f>V5*W11</f>
        <v>0</v>
      </c>
      <c r="Y11" s="299">
        <f t="shared" si="0"/>
        <v>61.2</v>
      </c>
    </row>
    <row r="12" spans="1:25" ht="12.75">
      <c r="A12" s="39" t="s">
        <v>292</v>
      </c>
      <c r="B12" s="292" t="s">
        <v>289</v>
      </c>
      <c r="C12" s="300">
        <v>6</v>
      </c>
      <c r="D12" s="302"/>
      <c r="E12" s="302"/>
      <c r="F12" s="303">
        <f>D5*E12</f>
        <v>0</v>
      </c>
      <c r="G12" s="302"/>
      <c r="H12" s="302"/>
      <c r="I12" s="303">
        <f>ABS(G5*H12)</f>
        <v>0</v>
      </c>
      <c r="J12" s="301">
        <v>0.5</v>
      </c>
      <c r="K12" s="302">
        <f>J12*C12</f>
        <v>3</v>
      </c>
      <c r="L12" s="303">
        <f>J5*K12</f>
        <v>16.5</v>
      </c>
      <c r="M12" s="301">
        <v>0.5</v>
      </c>
      <c r="N12" s="302">
        <f>M12*C12</f>
        <v>3</v>
      </c>
      <c r="O12" s="303">
        <f>ABS(M5*N12)</f>
        <v>16.5</v>
      </c>
      <c r="P12" s="302"/>
      <c r="Q12" s="302"/>
      <c r="R12" s="303">
        <f>P5*Q12</f>
        <v>0</v>
      </c>
      <c r="S12" s="302"/>
      <c r="T12" s="302"/>
      <c r="U12" s="303">
        <f>S5*T12</f>
        <v>0</v>
      </c>
      <c r="V12" s="301"/>
      <c r="W12" s="302"/>
      <c r="X12" s="303">
        <f>V5*W12</f>
        <v>0</v>
      </c>
      <c r="Y12" s="299">
        <f t="shared" si="0"/>
        <v>33</v>
      </c>
    </row>
    <row r="13" spans="1:25" ht="12.75">
      <c r="A13" s="39" t="s">
        <v>293</v>
      </c>
      <c r="B13" s="292" t="s">
        <v>294</v>
      </c>
      <c r="C13" s="300">
        <v>13</v>
      </c>
      <c r="D13" s="302">
        <v>0.09</v>
      </c>
      <c r="E13" s="302">
        <f>D13*C13</f>
        <v>1.17</v>
      </c>
      <c r="F13" s="303">
        <f>D5*E13</f>
        <v>11.7</v>
      </c>
      <c r="G13" s="302">
        <v>0.01</v>
      </c>
      <c r="H13" s="302">
        <f>G13*C13</f>
        <v>0.13</v>
      </c>
      <c r="I13" s="303">
        <f>ABS(G5*H13)</f>
        <v>1.3</v>
      </c>
      <c r="J13" s="302"/>
      <c r="K13" s="302"/>
      <c r="L13" s="303">
        <f>J5*K13</f>
        <v>0</v>
      </c>
      <c r="M13" s="302"/>
      <c r="N13" s="302"/>
      <c r="O13" s="303">
        <f>ABS(M5*N13)</f>
        <v>0</v>
      </c>
      <c r="P13" s="302"/>
      <c r="Q13" s="302"/>
      <c r="R13" s="303">
        <f>P5*Q13</f>
        <v>0</v>
      </c>
      <c r="S13" s="302"/>
      <c r="T13" s="302"/>
      <c r="U13" s="303">
        <f>S5*T13</f>
        <v>0</v>
      </c>
      <c r="V13" s="302"/>
      <c r="W13" s="302"/>
      <c r="X13" s="303">
        <f>V5*W13</f>
        <v>0</v>
      </c>
      <c r="Y13" s="299">
        <f t="shared" si="0"/>
        <v>13</v>
      </c>
    </row>
    <row r="14" spans="1:25" ht="12.75">
      <c r="A14" s="39" t="s">
        <v>295</v>
      </c>
      <c r="B14" s="292" t="s">
        <v>289</v>
      </c>
      <c r="C14" s="300">
        <v>2</v>
      </c>
      <c r="D14" s="302"/>
      <c r="E14" s="302"/>
      <c r="F14" s="303">
        <f>D5*E14</f>
        <v>0</v>
      </c>
      <c r="G14" s="302"/>
      <c r="H14" s="302"/>
      <c r="I14" s="303">
        <f>ABS(G5*H14)</f>
        <v>0</v>
      </c>
      <c r="J14" s="301">
        <v>0.5</v>
      </c>
      <c r="K14" s="302">
        <f>J14*C14</f>
        <v>1</v>
      </c>
      <c r="L14" s="303">
        <f>J5*K14</f>
        <v>5.5</v>
      </c>
      <c r="M14" s="301">
        <v>0.5</v>
      </c>
      <c r="N14" s="302">
        <f>M14*C14</f>
        <v>1</v>
      </c>
      <c r="O14" s="303">
        <f>ABS(M5*N14)</f>
        <v>5.5</v>
      </c>
      <c r="P14" s="302"/>
      <c r="Q14" s="302"/>
      <c r="R14" s="303">
        <f>P5*Q14</f>
        <v>0</v>
      </c>
      <c r="S14" s="302"/>
      <c r="T14" s="302"/>
      <c r="U14" s="303">
        <f>S5*T14</f>
        <v>0</v>
      </c>
      <c r="V14" s="301"/>
      <c r="W14" s="302"/>
      <c r="X14" s="303">
        <f>V5*W14</f>
        <v>0</v>
      </c>
      <c r="Y14" s="299">
        <f t="shared" si="0"/>
        <v>11</v>
      </c>
    </row>
    <row r="15" spans="1:25" ht="12.75">
      <c r="A15" s="304" t="s">
        <v>162</v>
      </c>
      <c r="B15" s="305" t="s">
        <v>233</v>
      </c>
      <c r="C15" s="300">
        <v>2</v>
      </c>
      <c r="D15" s="302"/>
      <c r="E15" s="302"/>
      <c r="F15" s="303">
        <f>D5*E15</f>
        <v>0</v>
      </c>
      <c r="G15" s="302"/>
      <c r="H15" s="302"/>
      <c r="I15" s="303">
        <f>ABS(G5*H15)</f>
        <v>0</v>
      </c>
      <c r="J15" s="302">
        <v>18</v>
      </c>
      <c r="K15" s="302">
        <f>J15*C15</f>
        <v>36</v>
      </c>
      <c r="L15" s="303">
        <f>J5*K15</f>
        <v>198</v>
      </c>
      <c r="M15" s="302">
        <v>26</v>
      </c>
      <c r="N15" s="302">
        <f>M15*C15</f>
        <v>52</v>
      </c>
      <c r="O15" s="303">
        <f>ABS(M5*N15)</f>
        <v>286</v>
      </c>
      <c r="P15" s="302"/>
      <c r="Q15" s="302"/>
      <c r="R15" s="303">
        <f>P5*Q15</f>
        <v>0</v>
      </c>
      <c r="S15" s="302"/>
      <c r="T15" s="302"/>
      <c r="U15" s="303">
        <f>S5*T15</f>
        <v>0</v>
      </c>
      <c r="V15" s="302"/>
      <c r="W15" s="302"/>
      <c r="X15" s="303">
        <f>V5*W15</f>
        <v>0</v>
      </c>
      <c r="Y15" s="299">
        <f t="shared" si="0"/>
        <v>484</v>
      </c>
    </row>
    <row r="16" spans="1:25" ht="12.75">
      <c r="A16" s="39" t="s">
        <v>296</v>
      </c>
      <c r="B16" s="292" t="s">
        <v>287</v>
      </c>
      <c r="C16" s="300">
        <v>4</v>
      </c>
      <c r="D16" s="301">
        <v>0.17</v>
      </c>
      <c r="E16" s="302">
        <f>D16*C16</f>
        <v>0.68</v>
      </c>
      <c r="F16" s="303">
        <f>D5*E16</f>
        <v>6.800000000000001</v>
      </c>
      <c r="G16" s="301">
        <v>0.17</v>
      </c>
      <c r="H16" s="302">
        <f>G16*C16</f>
        <v>0.68</v>
      </c>
      <c r="I16" s="303">
        <f>ABS(G5*H16)</f>
        <v>6.800000000000001</v>
      </c>
      <c r="J16" s="302"/>
      <c r="K16" s="302"/>
      <c r="L16" s="303">
        <f>J5*K16</f>
        <v>0</v>
      </c>
      <c r="M16" s="302"/>
      <c r="N16" s="302"/>
      <c r="O16" s="303">
        <f>ABS(M5*N16)</f>
        <v>0</v>
      </c>
      <c r="P16" s="302"/>
      <c r="Q16" s="302"/>
      <c r="R16" s="303">
        <f>P5*Q16</f>
        <v>0</v>
      </c>
      <c r="S16" s="302"/>
      <c r="T16" s="302"/>
      <c r="U16" s="303">
        <f>S5*T16</f>
        <v>0</v>
      </c>
      <c r="V16" s="302"/>
      <c r="W16" s="302"/>
      <c r="X16" s="303">
        <f>V5*W16</f>
        <v>0</v>
      </c>
      <c r="Y16" s="299">
        <f t="shared" si="0"/>
        <v>13.600000000000001</v>
      </c>
    </row>
    <row r="17" spans="1:25" ht="12.75">
      <c r="A17" s="39" t="s">
        <v>296</v>
      </c>
      <c r="B17" s="292" t="s">
        <v>287</v>
      </c>
      <c r="C17" s="300">
        <v>2</v>
      </c>
      <c r="D17" s="301"/>
      <c r="E17" s="302"/>
      <c r="F17" s="303">
        <f>D5*E17</f>
        <v>0</v>
      </c>
      <c r="G17" s="301"/>
      <c r="H17" s="302"/>
      <c r="I17" s="303">
        <f>ABS(G5*H17)</f>
        <v>0</v>
      </c>
      <c r="J17" s="302">
        <v>0.17</v>
      </c>
      <c r="K17" s="302">
        <f>J17*C17</f>
        <v>0.34</v>
      </c>
      <c r="L17" s="303">
        <f>J5*K17</f>
        <v>1.87</v>
      </c>
      <c r="M17" s="302">
        <v>0.17</v>
      </c>
      <c r="N17" s="302">
        <f>M17*C17</f>
        <v>0.34</v>
      </c>
      <c r="O17" s="303">
        <f>ABS(M5*N17)</f>
        <v>1.87</v>
      </c>
      <c r="P17" s="302"/>
      <c r="Q17" s="302"/>
      <c r="R17" s="303">
        <f>P5*Q17</f>
        <v>0</v>
      </c>
      <c r="S17" s="302"/>
      <c r="T17" s="302"/>
      <c r="U17" s="303">
        <f>S5*T17</f>
        <v>0</v>
      </c>
      <c r="V17" s="302"/>
      <c r="W17" s="302"/>
      <c r="X17" s="303">
        <f>V5*W17</f>
        <v>0</v>
      </c>
      <c r="Y17" s="299">
        <f t="shared" si="0"/>
        <v>3.74</v>
      </c>
    </row>
    <row r="18" spans="1:25" ht="12.75">
      <c r="A18" s="39" t="s">
        <v>296</v>
      </c>
      <c r="B18" s="292" t="s">
        <v>297</v>
      </c>
      <c r="C18" s="300">
        <v>1</v>
      </c>
      <c r="D18" s="301">
        <v>1.75</v>
      </c>
      <c r="E18" s="302">
        <f>D18*C18</f>
        <v>1.75</v>
      </c>
      <c r="F18" s="303">
        <f>D5*E18</f>
        <v>17.5</v>
      </c>
      <c r="G18" s="301"/>
      <c r="H18" s="302"/>
      <c r="I18" s="303">
        <f>ABS(G5*H18)</f>
        <v>0</v>
      </c>
      <c r="J18" s="302"/>
      <c r="K18" s="302"/>
      <c r="L18" s="303">
        <f>J5*K18</f>
        <v>0</v>
      </c>
      <c r="M18" s="302"/>
      <c r="N18" s="302"/>
      <c r="O18" s="303">
        <f>ABS(M5*N18)</f>
        <v>0</v>
      </c>
      <c r="P18" s="302"/>
      <c r="Q18" s="302"/>
      <c r="R18" s="303">
        <f>P5*Q18</f>
        <v>0</v>
      </c>
      <c r="S18" s="302"/>
      <c r="T18" s="302"/>
      <c r="U18" s="303">
        <f>S5*T18</f>
        <v>0</v>
      </c>
      <c r="V18" s="302"/>
      <c r="W18" s="302"/>
      <c r="X18" s="303">
        <f>V5*W18</f>
        <v>0</v>
      </c>
      <c r="Y18" s="299">
        <f t="shared" si="0"/>
        <v>17.5</v>
      </c>
    </row>
    <row r="19" spans="1:25" ht="12.75">
      <c r="A19" s="112" t="s">
        <v>165</v>
      </c>
      <c r="B19" s="305"/>
      <c r="C19" s="300"/>
      <c r="D19" s="302">
        <f aca="true" t="shared" si="1" ref="D19:X19">SUM(D8:D18)</f>
        <v>2.35</v>
      </c>
      <c r="E19" s="302">
        <f t="shared" si="1"/>
        <v>15.840000000000002</v>
      </c>
      <c r="F19" s="303">
        <f t="shared" si="1"/>
        <v>158.4</v>
      </c>
      <c r="G19" s="302">
        <f t="shared" si="1"/>
        <v>0.52</v>
      </c>
      <c r="H19" s="302">
        <f t="shared" si="1"/>
        <v>13.050000000000002</v>
      </c>
      <c r="I19" s="303">
        <f t="shared" si="1"/>
        <v>130.5</v>
      </c>
      <c r="J19" s="302">
        <f t="shared" si="1"/>
        <v>19.840000000000003</v>
      </c>
      <c r="K19" s="302">
        <f t="shared" si="1"/>
        <v>49.68000000000001</v>
      </c>
      <c r="L19" s="303">
        <f t="shared" si="1"/>
        <v>273.24</v>
      </c>
      <c r="M19" s="302">
        <f t="shared" si="1"/>
        <v>27.840000000000003</v>
      </c>
      <c r="N19" s="302">
        <f t="shared" si="1"/>
        <v>65.68</v>
      </c>
      <c r="O19" s="303">
        <f t="shared" si="1"/>
        <v>361.24</v>
      </c>
      <c r="P19" s="302">
        <f t="shared" si="1"/>
        <v>0</v>
      </c>
      <c r="Q19" s="302">
        <f t="shared" si="1"/>
        <v>0</v>
      </c>
      <c r="R19" s="303">
        <f t="shared" si="1"/>
        <v>0</v>
      </c>
      <c r="S19" s="302">
        <f t="shared" si="1"/>
        <v>0</v>
      </c>
      <c r="T19" s="302">
        <f t="shared" si="1"/>
        <v>0</v>
      </c>
      <c r="U19" s="303">
        <f t="shared" si="1"/>
        <v>0</v>
      </c>
      <c r="V19" s="302">
        <f t="shared" si="1"/>
        <v>0</v>
      </c>
      <c r="W19" s="302">
        <f t="shared" si="1"/>
        <v>0</v>
      </c>
      <c r="X19" s="303">
        <f t="shared" si="1"/>
        <v>0</v>
      </c>
      <c r="Y19" s="306">
        <f t="shared" si="0"/>
        <v>923.38</v>
      </c>
    </row>
    <row r="20" spans="1:25" s="199" customFormat="1" ht="12.75">
      <c r="A20" s="31"/>
      <c r="B20" s="305"/>
      <c r="C20" s="300"/>
      <c r="D20" s="302"/>
      <c r="E20" s="302"/>
      <c r="F20" s="303"/>
      <c r="G20" s="302"/>
      <c r="H20" s="302"/>
      <c r="I20" s="303"/>
      <c r="J20" s="302"/>
      <c r="K20" s="302"/>
      <c r="L20" s="303"/>
      <c r="M20" s="302"/>
      <c r="N20" s="302"/>
      <c r="O20" s="303"/>
      <c r="P20" s="302"/>
      <c r="Q20" s="302"/>
      <c r="R20" s="303"/>
      <c r="S20" s="302"/>
      <c r="T20" s="302"/>
      <c r="U20" s="303"/>
      <c r="V20" s="302"/>
      <c r="W20" s="302"/>
      <c r="X20" s="303"/>
      <c r="Y20" s="299"/>
    </row>
    <row r="21" spans="1:25" s="199" customFormat="1" ht="12.75">
      <c r="A21" s="307" t="s">
        <v>166</v>
      </c>
      <c r="B21" s="305"/>
      <c r="C21" s="300"/>
      <c r="D21" s="302"/>
      <c r="E21" s="302"/>
      <c r="F21" s="303"/>
      <c r="G21" s="302"/>
      <c r="H21" s="302"/>
      <c r="I21" s="303"/>
      <c r="J21" s="302"/>
      <c r="K21" s="302"/>
      <c r="L21" s="303"/>
      <c r="M21" s="302"/>
      <c r="N21" s="302"/>
      <c r="O21" s="303"/>
      <c r="P21" s="302"/>
      <c r="Q21" s="302"/>
      <c r="R21" s="303"/>
      <c r="S21" s="302"/>
      <c r="T21" s="302"/>
      <c r="U21" s="303"/>
      <c r="V21" s="302"/>
      <c r="W21" s="302"/>
      <c r="X21" s="303"/>
      <c r="Y21" s="299"/>
    </row>
    <row r="22" spans="1:25" ht="12.75">
      <c r="A22" s="31" t="s">
        <v>298</v>
      </c>
      <c r="B22" s="292" t="s">
        <v>299</v>
      </c>
      <c r="C22" s="300">
        <v>1</v>
      </c>
      <c r="D22" s="302"/>
      <c r="E22" s="302"/>
      <c r="F22" s="303">
        <f>D5*E22</f>
        <v>0</v>
      </c>
      <c r="G22" s="302"/>
      <c r="H22" s="302"/>
      <c r="I22" s="303">
        <f>ABS(G5*H22)</f>
        <v>0</v>
      </c>
      <c r="J22" s="302"/>
      <c r="K22" s="302"/>
      <c r="L22" s="303">
        <f>J5*K22</f>
        <v>0</v>
      </c>
      <c r="M22" s="302"/>
      <c r="N22" s="302"/>
      <c r="O22" s="303">
        <f>ABS(M5*N22)</f>
        <v>0</v>
      </c>
      <c r="P22" s="302">
        <v>33</v>
      </c>
      <c r="Q22" s="302">
        <f>P22*C22</f>
        <v>33</v>
      </c>
      <c r="R22" s="303">
        <f>P5*Q22</f>
        <v>118.8</v>
      </c>
      <c r="S22" s="302">
        <v>190</v>
      </c>
      <c r="T22" s="302">
        <f>S22*C22</f>
        <v>190</v>
      </c>
      <c r="U22" s="303">
        <f>S5*T22</f>
        <v>342</v>
      </c>
      <c r="V22" s="302"/>
      <c r="W22" s="302"/>
      <c r="X22" s="303">
        <f>V5*W22</f>
        <v>0</v>
      </c>
      <c r="Y22" s="299">
        <f aca="true" t="shared" si="2" ref="Y22:Y31">F22+I22+L22+O22+R22+U22+X22</f>
        <v>460.8</v>
      </c>
    </row>
    <row r="23" spans="1:25" ht="12.75">
      <c r="A23" s="31" t="s">
        <v>300</v>
      </c>
      <c r="B23" s="292" t="s">
        <v>301</v>
      </c>
      <c r="C23" s="300">
        <v>2</v>
      </c>
      <c r="D23" s="302"/>
      <c r="E23" s="302"/>
      <c r="F23" s="303">
        <f>D5*E23</f>
        <v>0</v>
      </c>
      <c r="G23" s="302"/>
      <c r="H23" s="302"/>
      <c r="I23" s="303">
        <f>ABS(G5*H23)</f>
        <v>0</v>
      </c>
      <c r="J23" s="302"/>
      <c r="K23" s="302"/>
      <c r="L23" s="303">
        <f>J5*K23</f>
        <v>0</v>
      </c>
      <c r="M23" s="302"/>
      <c r="N23" s="302"/>
      <c r="O23" s="303">
        <f>ABS(M5*N23)</f>
        <v>0</v>
      </c>
      <c r="P23" s="302"/>
      <c r="Q23" s="302"/>
      <c r="R23" s="303">
        <f>P5*Q23</f>
        <v>0</v>
      </c>
      <c r="S23" s="302"/>
      <c r="T23" s="302"/>
      <c r="U23" s="303">
        <f>S5*T23</f>
        <v>0</v>
      </c>
      <c r="V23" s="302">
        <v>2</v>
      </c>
      <c r="W23" s="302">
        <f>V23*C23</f>
        <v>4</v>
      </c>
      <c r="X23" s="303">
        <f>V5*W23</f>
        <v>20</v>
      </c>
      <c r="Y23" s="299">
        <f t="shared" si="2"/>
        <v>20</v>
      </c>
    </row>
    <row r="24" spans="1:25" ht="12.75">
      <c r="A24" s="39" t="s">
        <v>300</v>
      </c>
      <c r="B24" s="292" t="s">
        <v>297</v>
      </c>
      <c r="C24" s="300">
        <v>1</v>
      </c>
      <c r="D24" s="301"/>
      <c r="E24" s="302"/>
      <c r="F24" s="303">
        <f>D5*E24</f>
        <v>0</v>
      </c>
      <c r="G24" s="301"/>
      <c r="H24" s="302"/>
      <c r="I24" s="303">
        <f>ABS(G5*H24)</f>
        <v>0</v>
      </c>
      <c r="J24" s="302"/>
      <c r="K24" s="302"/>
      <c r="L24" s="303">
        <f>J5*K24</f>
        <v>0</v>
      </c>
      <c r="M24" s="302"/>
      <c r="N24" s="302"/>
      <c r="O24" s="303">
        <f>ABS(M13*N24)</f>
        <v>0</v>
      </c>
      <c r="P24" s="302"/>
      <c r="Q24" s="302"/>
      <c r="R24" s="303">
        <f>P5*Q24</f>
        <v>0</v>
      </c>
      <c r="S24" s="302"/>
      <c r="T24" s="302"/>
      <c r="U24" s="303">
        <f>S5*T24</f>
        <v>0</v>
      </c>
      <c r="V24" s="302">
        <v>0.75</v>
      </c>
      <c r="W24" s="302">
        <f>V24*C24</f>
        <v>0.75</v>
      </c>
      <c r="X24" s="303">
        <f>V5*W24</f>
        <v>3.75</v>
      </c>
      <c r="Y24" s="299">
        <f t="shared" si="2"/>
        <v>3.75</v>
      </c>
    </row>
    <row r="25" spans="1:25" ht="12.75">
      <c r="A25" s="39" t="s">
        <v>300</v>
      </c>
      <c r="B25" s="292" t="s">
        <v>289</v>
      </c>
      <c r="C25" s="300">
        <v>2</v>
      </c>
      <c r="D25" s="302"/>
      <c r="E25" s="302"/>
      <c r="F25" s="303">
        <f>D5*E25</f>
        <v>0</v>
      </c>
      <c r="G25" s="302"/>
      <c r="H25" s="302"/>
      <c r="I25" s="303">
        <f>ABS(G5*H25)</f>
        <v>0</v>
      </c>
      <c r="J25" s="301"/>
      <c r="K25" s="302"/>
      <c r="L25" s="303">
        <f>J5*K25</f>
        <v>0</v>
      </c>
      <c r="M25" s="301"/>
      <c r="N25" s="302"/>
      <c r="O25" s="303">
        <f>ABS(M5*N25)</f>
        <v>0</v>
      </c>
      <c r="P25" s="302"/>
      <c r="Q25" s="302"/>
      <c r="R25" s="303">
        <f>P5*Q25</f>
        <v>0</v>
      </c>
      <c r="S25" s="302"/>
      <c r="T25" s="302"/>
      <c r="U25" s="303">
        <f>S5*T25</f>
        <v>0</v>
      </c>
      <c r="V25" s="301">
        <v>0.5</v>
      </c>
      <c r="W25" s="302">
        <f>V25*C25</f>
        <v>1</v>
      </c>
      <c r="X25" s="303">
        <f>V5*W25</f>
        <v>5</v>
      </c>
      <c r="Y25" s="299">
        <f t="shared" si="2"/>
        <v>5</v>
      </c>
    </row>
    <row r="26" spans="1:25" ht="12.75">
      <c r="A26" s="39" t="s">
        <v>210</v>
      </c>
      <c r="B26" s="292" t="s">
        <v>302</v>
      </c>
      <c r="C26" s="300">
        <v>1</v>
      </c>
      <c r="D26" s="302"/>
      <c r="E26" s="302"/>
      <c r="F26" s="303">
        <f>D5*E26</f>
        <v>0</v>
      </c>
      <c r="G26" s="302"/>
      <c r="H26" s="302"/>
      <c r="I26" s="303">
        <f>ABS(G5*H26)</f>
        <v>0</v>
      </c>
      <c r="J26" s="302"/>
      <c r="K26" s="302"/>
      <c r="L26" s="303">
        <f>J5*K26</f>
        <v>0</v>
      </c>
      <c r="M26" s="302"/>
      <c r="N26" s="302"/>
      <c r="O26" s="303">
        <f>ABS(M5*N26)</f>
        <v>0</v>
      </c>
      <c r="P26" s="302">
        <v>22.5</v>
      </c>
      <c r="Q26" s="302">
        <f>P26*C26</f>
        <v>22.5</v>
      </c>
      <c r="R26" s="303">
        <f>P5*Q26</f>
        <v>81</v>
      </c>
      <c r="S26" s="302"/>
      <c r="T26" s="302"/>
      <c r="U26" s="303">
        <f>S5*T26</f>
        <v>0</v>
      </c>
      <c r="V26" s="302"/>
      <c r="W26" s="302"/>
      <c r="X26" s="303">
        <f>V5*W26</f>
        <v>0</v>
      </c>
      <c r="Y26" s="299">
        <f t="shared" si="2"/>
        <v>81</v>
      </c>
    </row>
    <row r="27" spans="1:25" ht="12.75">
      <c r="A27" s="39" t="s">
        <v>303</v>
      </c>
      <c r="B27" s="292" t="s">
        <v>304</v>
      </c>
      <c r="C27" s="300">
        <v>1</v>
      </c>
      <c r="D27" s="302"/>
      <c r="E27" s="302"/>
      <c r="F27" s="303">
        <f>D5*E27</f>
        <v>0</v>
      </c>
      <c r="G27" s="302"/>
      <c r="H27" s="302"/>
      <c r="I27" s="303">
        <f>ABS(G5*H27)</f>
        <v>0</v>
      </c>
      <c r="J27" s="302"/>
      <c r="K27" s="302"/>
      <c r="L27" s="303">
        <f>J5*K27</f>
        <v>0</v>
      </c>
      <c r="M27" s="302"/>
      <c r="N27" s="302"/>
      <c r="O27" s="303">
        <f>ABS(M5*N27)</f>
        <v>0</v>
      </c>
      <c r="P27" s="302">
        <v>2</v>
      </c>
      <c r="Q27" s="302">
        <f>P27*C27</f>
        <v>2</v>
      </c>
      <c r="R27" s="303">
        <f>P5*Q27</f>
        <v>7.2</v>
      </c>
      <c r="S27" s="302"/>
      <c r="T27" s="302"/>
      <c r="U27" s="303">
        <f>S5*T27</f>
        <v>0</v>
      </c>
      <c r="V27" s="302">
        <v>2</v>
      </c>
      <c r="W27" s="302">
        <f>V27*C27</f>
        <v>2</v>
      </c>
      <c r="X27" s="303">
        <f>V5*W27</f>
        <v>10</v>
      </c>
      <c r="Y27" s="299">
        <f t="shared" si="2"/>
        <v>17.2</v>
      </c>
    </row>
    <row r="28" spans="1:25" ht="12.75">
      <c r="A28" s="39" t="s">
        <v>305</v>
      </c>
      <c r="B28" s="292" t="s">
        <v>306</v>
      </c>
      <c r="C28" s="300">
        <v>1</v>
      </c>
      <c r="D28" s="302"/>
      <c r="E28" s="302"/>
      <c r="F28" s="303">
        <f>D5*E28</f>
        <v>0</v>
      </c>
      <c r="G28" s="302"/>
      <c r="H28" s="302"/>
      <c r="I28" s="303">
        <f>ABS(G5*H28)</f>
        <v>0</v>
      </c>
      <c r="J28" s="302"/>
      <c r="K28" s="302"/>
      <c r="L28" s="303">
        <f>J5*K28</f>
        <v>0</v>
      </c>
      <c r="M28" s="302"/>
      <c r="N28" s="302"/>
      <c r="O28" s="303">
        <f>ABS(M5*N28)</f>
        <v>0</v>
      </c>
      <c r="P28" s="302">
        <v>2</v>
      </c>
      <c r="Q28" s="302">
        <f>P28*C28</f>
        <v>2</v>
      </c>
      <c r="R28" s="303">
        <f>P5*Q28</f>
        <v>7.2</v>
      </c>
      <c r="S28" s="302"/>
      <c r="T28" s="302"/>
      <c r="U28" s="303">
        <f>S5*T28</f>
        <v>0</v>
      </c>
      <c r="V28" s="302"/>
      <c r="W28" s="302"/>
      <c r="X28" s="303">
        <f>V5*W28</f>
        <v>0</v>
      </c>
      <c r="Y28" s="299">
        <f t="shared" si="2"/>
        <v>7.2</v>
      </c>
    </row>
    <row r="29" spans="1:25" ht="12.75">
      <c r="A29" s="39" t="s">
        <v>307</v>
      </c>
      <c r="B29" s="292" t="s">
        <v>306</v>
      </c>
      <c r="C29" s="300">
        <v>1</v>
      </c>
      <c r="D29" s="302"/>
      <c r="E29" s="302"/>
      <c r="F29" s="303">
        <f>D5*E29</f>
        <v>0</v>
      </c>
      <c r="G29" s="302"/>
      <c r="H29" s="302"/>
      <c r="I29" s="303">
        <f>ABS(G5*H29)</f>
        <v>0</v>
      </c>
      <c r="J29" s="302"/>
      <c r="K29" s="302"/>
      <c r="L29" s="303">
        <f>J5*K29</f>
        <v>0</v>
      </c>
      <c r="M29" s="302"/>
      <c r="N29" s="302"/>
      <c r="O29" s="303">
        <f>ABS(M5*N29)</f>
        <v>0</v>
      </c>
      <c r="P29" s="302">
        <v>0.1</v>
      </c>
      <c r="Q29" s="302">
        <f>P29*C29</f>
        <v>0.1</v>
      </c>
      <c r="R29" s="303">
        <f>P5*Q29</f>
        <v>0.36000000000000004</v>
      </c>
      <c r="S29" s="302"/>
      <c r="T29" s="302"/>
      <c r="U29" s="303">
        <f>S5*T29</f>
        <v>0</v>
      </c>
      <c r="V29" s="302"/>
      <c r="W29" s="302"/>
      <c r="X29" s="303">
        <f>V5*W29</f>
        <v>0</v>
      </c>
      <c r="Y29" s="299">
        <f t="shared" si="2"/>
        <v>0.36000000000000004</v>
      </c>
    </row>
    <row r="30" spans="1:25" ht="12.75">
      <c r="A30" s="39" t="s">
        <v>307</v>
      </c>
      <c r="B30" s="292" t="s">
        <v>287</v>
      </c>
      <c r="C30" s="300">
        <v>1</v>
      </c>
      <c r="D30" s="301">
        <v>0.17</v>
      </c>
      <c r="E30" s="302">
        <f>D30*C30</f>
        <v>0.17</v>
      </c>
      <c r="F30" s="303">
        <f>D5*E30</f>
        <v>1.7000000000000002</v>
      </c>
      <c r="G30" s="301"/>
      <c r="H30" s="302"/>
      <c r="I30" s="303">
        <f>ABS(G5*H30)</f>
        <v>0</v>
      </c>
      <c r="J30" s="302"/>
      <c r="K30" s="302"/>
      <c r="L30" s="303">
        <f>J5*K30</f>
        <v>0</v>
      </c>
      <c r="M30" s="302"/>
      <c r="N30" s="302"/>
      <c r="O30" s="303">
        <f>ABS(M5*N30)</f>
        <v>0</v>
      </c>
      <c r="P30" s="302"/>
      <c r="Q30" s="302"/>
      <c r="R30" s="303">
        <f>P5*Q30</f>
        <v>0</v>
      </c>
      <c r="S30" s="302"/>
      <c r="T30" s="302"/>
      <c r="U30" s="303">
        <f>S5*T30</f>
        <v>0</v>
      </c>
      <c r="V30" s="302"/>
      <c r="W30" s="302"/>
      <c r="X30" s="303">
        <f>V5*W30</f>
        <v>0</v>
      </c>
      <c r="Y30" s="299">
        <f t="shared" si="2"/>
        <v>1.7000000000000002</v>
      </c>
    </row>
    <row r="31" spans="1:25" ht="12.75">
      <c r="A31" s="112" t="s">
        <v>308</v>
      </c>
      <c r="B31" s="292"/>
      <c r="C31" s="293"/>
      <c r="D31" s="302">
        <f aca="true" t="shared" si="3" ref="D31:X31">SUM(D22:D30)</f>
        <v>0.17</v>
      </c>
      <c r="E31" s="302">
        <f t="shared" si="3"/>
        <v>0.17</v>
      </c>
      <c r="F31" s="303">
        <f t="shared" si="3"/>
        <v>1.7000000000000002</v>
      </c>
      <c r="G31" s="302">
        <f t="shared" si="3"/>
        <v>0</v>
      </c>
      <c r="H31" s="302">
        <f t="shared" si="3"/>
        <v>0</v>
      </c>
      <c r="I31" s="303">
        <f t="shared" si="3"/>
        <v>0</v>
      </c>
      <c r="J31" s="302">
        <f t="shared" si="3"/>
        <v>0</v>
      </c>
      <c r="K31" s="302">
        <f t="shared" si="3"/>
        <v>0</v>
      </c>
      <c r="L31" s="303">
        <f t="shared" si="3"/>
        <v>0</v>
      </c>
      <c r="M31" s="302">
        <f t="shared" si="3"/>
        <v>0</v>
      </c>
      <c r="N31" s="302">
        <f t="shared" si="3"/>
        <v>0</v>
      </c>
      <c r="O31" s="303">
        <f t="shared" si="3"/>
        <v>0</v>
      </c>
      <c r="P31" s="302">
        <f t="shared" si="3"/>
        <v>59.6</v>
      </c>
      <c r="Q31" s="302">
        <f t="shared" si="3"/>
        <v>59.6</v>
      </c>
      <c r="R31" s="303">
        <f t="shared" si="3"/>
        <v>214.56</v>
      </c>
      <c r="S31" s="302">
        <f t="shared" si="3"/>
        <v>190</v>
      </c>
      <c r="T31" s="302">
        <f t="shared" si="3"/>
        <v>190</v>
      </c>
      <c r="U31" s="303">
        <f t="shared" si="3"/>
        <v>342</v>
      </c>
      <c r="V31" s="302">
        <f t="shared" si="3"/>
        <v>5.25</v>
      </c>
      <c r="W31" s="302">
        <f t="shared" si="3"/>
        <v>7.75</v>
      </c>
      <c r="X31" s="303">
        <f t="shared" si="3"/>
        <v>38.75</v>
      </c>
      <c r="Y31" s="306">
        <f t="shared" si="2"/>
        <v>597.01</v>
      </c>
    </row>
    <row r="32" spans="1:25" ht="12.75">
      <c r="A32" s="39"/>
      <c r="B32" s="292"/>
      <c r="C32" s="293"/>
      <c r="D32" s="39"/>
      <c r="E32" s="39"/>
      <c r="F32" s="292"/>
      <c r="G32" s="39"/>
      <c r="H32" s="39"/>
      <c r="I32" s="292"/>
      <c r="J32" s="39"/>
      <c r="K32" s="39"/>
      <c r="L32" s="292"/>
      <c r="M32" s="39"/>
      <c r="N32" s="39"/>
      <c r="O32" s="292"/>
      <c r="P32" s="39"/>
      <c r="Q32" s="39"/>
      <c r="R32" s="292"/>
      <c r="S32" s="39"/>
      <c r="T32" s="39"/>
      <c r="U32" s="292"/>
      <c r="V32" s="39"/>
      <c r="W32" s="39"/>
      <c r="X32" s="292"/>
      <c r="Y32" s="39"/>
    </row>
    <row r="33" spans="1:25" s="1" customFormat="1" ht="12.75">
      <c r="A33" s="112" t="s">
        <v>309</v>
      </c>
      <c r="B33" s="308"/>
      <c r="C33" s="309"/>
      <c r="D33" s="310">
        <f aca="true" t="shared" si="4" ref="D33:X33">D19+D31</f>
        <v>2.52</v>
      </c>
      <c r="E33" s="310">
        <f t="shared" si="4"/>
        <v>16.01</v>
      </c>
      <c r="F33" s="311">
        <f t="shared" si="4"/>
        <v>160.1</v>
      </c>
      <c r="G33" s="310">
        <f t="shared" si="4"/>
        <v>0.52</v>
      </c>
      <c r="H33" s="310">
        <f t="shared" si="4"/>
        <v>13.050000000000002</v>
      </c>
      <c r="I33" s="311">
        <f t="shared" si="4"/>
        <v>130.5</v>
      </c>
      <c r="J33" s="310">
        <f t="shared" si="4"/>
        <v>19.840000000000003</v>
      </c>
      <c r="K33" s="310">
        <f t="shared" si="4"/>
        <v>49.68000000000001</v>
      </c>
      <c r="L33" s="311">
        <f t="shared" si="4"/>
        <v>273.24</v>
      </c>
      <c r="M33" s="310">
        <f t="shared" si="4"/>
        <v>27.840000000000003</v>
      </c>
      <c r="N33" s="310">
        <f t="shared" si="4"/>
        <v>65.68</v>
      </c>
      <c r="O33" s="311">
        <f t="shared" si="4"/>
        <v>361.24</v>
      </c>
      <c r="P33" s="310">
        <f t="shared" si="4"/>
        <v>59.6</v>
      </c>
      <c r="Q33" s="310">
        <f t="shared" si="4"/>
        <v>59.6</v>
      </c>
      <c r="R33" s="311">
        <f t="shared" si="4"/>
        <v>214.56</v>
      </c>
      <c r="S33" s="310">
        <f t="shared" si="4"/>
        <v>190</v>
      </c>
      <c r="T33" s="310">
        <f t="shared" si="4"/>
        <v>190</v>
      </c>
      <c r="U33" s="311">
        <f t="shared" si="4"/>
        <v>342</v>
      </c>
      <c r="V33" s="310">
        <f t="shared" si="4"/>
        <v>5.25</v>
      </c>
      <c r="W33" s="310">
        <f t="shared" si="4"/>
        <v>7.75</v>
      </c>
      <c r="X33" s="311">
        <f t="shared" si="4"/>
        <v>38.75</v>
      </c>
      <c r="Y33" s="306">
        <f>F33+I33+L33+O33+R33+U33+X33</f>
        <v>1520.39</v>
      </c>
    </row>
    <row r="34" spans="1:25" ht="12.75">
      <c r="A34" s="39"/>
      <c r="B34" s="292"/>
      <c r="C34" s="312"/>
      <c r="D34" s="30" t="s">
        <v>146</v>
      </c>
      <c r="E34" s="30" t="s">
        <v>146</v>
      </c>
      <c r="F34" s="313" t="s">
        <v>147</v>
      </c>
      <c r="G34" s="30" t="s">
        <v>146</v>
      </c>
      <c r="H34" s="30" t="s">
        <v>146</v>
      </c>
      <c r="I34" s="313" t="s">
        <v>147</v>
      </c>
      <c r="J34" s="30" t="s">
        <v>146</v>
      </c>
      <c r="K34" s="30" t="s">
        <v>146</v>
      </c>
      <c r="L34" s="313" t="s">
        <v>147</v>
      </c>
      <c r="M34" s="30" t="s">
        <v>146</v>
      </c>
      <c r="N34" s="30" t="s">
        <v>146</v>
      </c>
      <c r="O34" s="313" t="s">
        <v>147</v>
      </c>
      <c r="P34" s="30" t="s">
        <v>146</v>
      </c>
      <c r="Q34" s="30" t="s">
        <v>146</v>
      </c>
      <c r="R34" s="313" t="s">
        <v>147</v>
      </c>
      <c r="S34" s="30" t="s">
        <v>146</v>
      </c>
      <c r="T34" s="30" t="s">
        <v>146</v>
      </c>
      <c r="U34" s="313" t="s">
        <v>147</v>
      </c>
      <c r="V34" s="30" t="s">
        <v>146</v>
      </c>
      <c r="W34" s="30" t="s">
        <v>146</v>
      </c>
      <c r="X34" s="313" t="s">
        <v>147</v>
      </c>
      <c r="Y34" s="66" t="s">
        <v>147</v>
      </c>
    </row>
  </sheetData>
  <mergeCells count="10">
    <mergeCell ref="D4:O4"/>
    <mergeCell ref="V5:X5"/>
    <mergeCell ref="P4:X4"/>
    <mergeCell ref="D3:X3"/>
    <mergeCell ref="P5:R5"/>
    <mergeCell ref="S5:U5"/>
    <mergeCell ref="D5:F5"/>
    <mergeCell ref="G5:I5"/>
    <mergeCell ref="J5:L5"/>
    <mergeCell ref="M5:O5"/>
  </mergeCells>
  <printOptions/>
  <pageMargins left="0.75" right="0.75" top="1" bottom="1" header="0.5" footer="0.5"/>
  <pageSetup horizontalDpi="600" verticalDpi="600" orientation="landscape" paperSize="17" r:id="rId1"/>
</worksheet>
</file>

<file path=xl/worksheets/sheet42.xml><?xml version="1.0" encoding="utf-8"?>
<worksheet xmlns="http://schemas.openxmlformats.org/spreadsheetml/2006/main" xmlns:r="http://schemas.openxmlformats.org/officeDocument/2006/relationships">
  <dimension ref="A1:Y34"/>
  <sheetViews>
    <sheetView workbookViewId="0" topLeftCell="A1">
      <pane xSplit="3" ySplit="7" topLeftCell="D20"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24.28125" style="0" bestFit="1" customWidth="1"/>
    <col min="2" max="2" width="12.8515625" style="0" customWidth="1"/>
    <col min="3" max="3" width="5.421875" style="191" bestFit="1" customWidth="1"/>
    <col min="4" max="5" width="5.57421875" style="0" bestFit="1" customWidth="1"/>
    <col min="6" max="6" width="6.57421875" style="0" bestFit="1" customWidth="1"/>
    <col min="7" max="8" width="5.57421875" style="0" bestFit="1" customWidth="1"/>
    <col min="9" max="9" width="6.57421875" style="0" bestFit="1" customWidth="1"/>
    <col min="10" max="11" width="5.57421875" style="0" bestFit="1" customWidth="1"/>
    <col min="12" max="12" width="6.57421875" style="0" bestFit="1" customWidth="1"/>
    <col min="13" max="13" width="5.57421875" style="0" bestFit="1" customWidth="1"/>
    <col min="14" max="21" width="6.57421875" style="0" bestFit="1" customWidth="1"/>
    <col min="22" max="23" width="5.57421875" style="0" customWidth="1"/>
    <col min="24" max="25" width="6.57421875" style="0" customWidth="1"/>
  </cols>
  <sheetData>
    <row r="1" spans="1:22" ht="12.75">
      <c r="A1" s="286" t="s">
        <v>310</v>
      </c>
      <c r="B1" s="285"/>
      <c r="C1" s="285"/>
      <c r="D1" s="285"/>
      <c r="E1" s="285"/>
      <c r="F1" s="285"/>
      <c r="G1" s="285"/>
      <c r="H1" s="285"/>
      <c r="I1" s="285"/>
      <c r="J1" s="285"/>
      <c r="K1" s="285"/>
      <c r="L1" s="285"/>
      <c r="M1" s="285"/>
      <c r="N1" s="285"/>
      <c r="O1" s="285"/>
      <c r="P1" s="285"/>
      <c r="Q1" s="285"/>
      <c r="R1" s="285"/>
      <c r="S1" s="285"/>
      <c r="T1" s="285"/>
      <c r="U1" s="285"/>
      <c r="V1" s="285"/>
    </row>
    <row r="3" spans="2:25" ht="12.75">
      <c r="B3" s="39"/>
      <c r="C3" s="287"/>
      <c r="D3" s="459" t="s">
        <v>279</v>
      </c>
      <c r="E3" s="459"/>
      <c r="F3" s="459"/>
      <c r="G3" s="459"/>
      <c r="H3" s="459"/>
      <c r="I3" s="459"/>
      <c r="J3" s="459"/>
      <c r="K3" s="459"/>
      <c r="L3" s="459"/>
      <c r="M3" s="459"/>
      <c r="N3" s="459"/>
      <c r="O3" s="459"/>
      <c r="P3" s="459"/>
      <c r="Q3" s="459"/>
      <c r="R3" s="459"/>
      <c r="S3" s="459"/>
      <c r="T3" s="459"/>
      <c r="U3" s="459"/>
      <c r="V3" s="433"/>
      <c r="W3" s="433"/>
      <c r="X3" s="433"/>
      <c r="Y3" s="39"/>
    </row>
    <row r="4" spans="2:25" ht="12.75">
      <c r="B4" s="39"/>
      <c r="C4" s="288"/>
      <c r="D4" s="451" t="s">
        <v>280</v>
      </c>
      <c r="E4" s="451"/>
      <c r="F4" s="451"/>
      <c r="G4" s="451"/>
      <c r="H4" s="451"/>
      <c r="I4" s="451"/>
      <c r="J4" s="451"/>
      <c r="K4" s="451"/>
      <c r="L4" s="451"/>
      <c r="M4" s="451"/>
      <c r="N4" s="451"/>
      <c r="O4" s="452"/>
      <c r="P4" s="456" t="s">
        <v>281</v>
      </c>
      <c r="Q4" s="457"/>
      <c r="R4" s="457"/>
      <c r="S4" s="457"/>
      <c r="T4" s="457"/>
      <c r="U4" s="457"/>
      <c r="V4" s="457"/>
      <c r="W4" s="457"/>
      <c r="X4" s="458"/>
      <c r="Y4" s="39"/>
    </row>
    <row r="5" spans="2:25" s="189" customFormat="1" ht="12.75">
      <c r="B5" s="289" t="s">
        <v>282</v>
      </c>
      <c r="C5" s="290" t="s">
        <v>283</v>
      </c>
      <c r="D5" s="453">
        <v>10</v>
      </c>
      <c r="E5" s="460"/>
      <c r="F5" s="461"/>
      <c r="G5" s="453">
        <v>-10</v>
      </c>
      <c r="H5" s="451"/>
      <c r="I5" s="452"/>
      <c r="J5" s="453">
        <v>5.5</v>
      </c>
      <c r="K5" s="451"/>
      <c r="L5" s="452"/>
      <c r="M5" s="462">
        <v>-5.5</v>
      </c>
      <c r="N5" s="459"/>
      <c r="O5" s="463"/>
      <c r="P5" s="453">
        <v>3.6</v>
      </c>
      <c r="Q5" s="451"/>
      <c r="R5" s="452"/>
      <c r="S5" s="453">
        <v>1.8</v>
      </c>
      <c r="T5" s="451"/>
      <c r="U5" s="452"/>
      <c r="V5" s="453">
        <v>5</v>
      </c>
      <c r="W5" s="454"/>
      <c r="X5" s="455"/>
      <c r="Y5" s="291" t="s">
        <v>284</v>
      </c>
    </row>
    <row r="6" spans="1:25" ht="12.75">
      <c r="A6" s="39"/>
      <c r="B6" s="292"/>
      <c r="C6" s="293"/>
      <c r="D6" s="30" t="s">
        <v>146</v>
      </c>
      <c r="E6" s="30" t="s">
        <v>146</v>
      </c>
      <c r="F6" s="294" t="s">
        <v>147</v>
      </c>
      <c r="G6" s="30" t="s">
        <v>146</v>
      </c>
      <c r="H6" s="30" t="s">
        <v>146</v>
      </c>
      <c r="I6" s="294" t="s">
        <v>147</v>
      </c>
      <c r="J6" s="30" t="s">
        <v>146</v>
      </c>
      <c r="K6" s="30" t="s">
        <v>146</v>
      </c>
      <c r="L6" s="294" t="s">
        <v>147</v>
      </c>
      <c r="M6" s="30" t="s">
        <v>146</v>
      </c>
      <c r="N6" s="30" t="s">
        <v>146</v>
      </c>
      <c r="O6" s="294" t="s">
        <v>147</v>
      </c>
      <c r="P6" s="30" t="s">
        <v>146</v>
      </c>
      <c r="Q6" s="30" t="s">
        <v>146</v>
      </c>
      <c r="R6" s="294" t="s">
        <v>147</v>
      </c>
      <c r="S6" s="30" t="s">
        <v>146</v>
      </c>
      <c r="T6" s="30" t="s">
        <v>146</v>
      </c>
      <c r="U6" s="294" t="s">
        <v>147</v>
      </c>
      <c r="V6" s="30" t="s">
        <v>146</v>
      </c>
      <c r="W6" s="30" t="s">
        <v>146</v>
      </c>
      <c r="X6" s="294" t="s">
        <v>147</v>
      </c>
      <c r="Y6" s="66" t="s">
        <v>147</v>
      </c>
    </row>
    <row r="7" spans="1:25" ht="12.75">
      <c r="A7" s="295" t="s">
        <v>148</v>
      </c>
      <c r="B7" s="292"/>
      <c r="C7" s="293"/>
      <c r="D7" s="296" t="s">
        <v>285</v>
      </c>
      <c r="E7" s="296" t="s">
        <v>2</v>
      </c>
      <c r="F7" s="297" t="s">
        <v>2</v>
      </c>
      <c r="G7" s="296" t="s">
        <v>285</v>
      </c>
      <c r="H7" s="296" t="s">
        <v>2</v>
      </c>
      <c r="I7" s="298" t="s">
        <v>2</v>
      </c>
      <c r="J7" s="296" t="s">
        <v>285</v>
      </c>
      <c r="K7" s="296" t="s">
        <v>2</v>
      </c>
      <c r="L7" s="298" t="s">
        <v>2</v>
      </c>
      <c r="M7" s="296" t="s">
        <v>285</v>
      </c>
      <c r="N7" s="296" t="s">
        <v>2</v>
      </c>
      <c r="O7" s="298" t="s">
        <v>2</v>
      </c>
      <c r="P7" s="296" t="s">
        <v>285</v>
      </c>
      <c r="Q7" s="296" t="s">
        <v>2</v>
      </c>
      <c r="R7" s="298" t="s">
        <v>2</v>
      </c>
      <c r="S7" s="296" t="s">
        <v>285</v>
      </c>
      <c r="T7" s="296" t="s">
        <v>2</v>
      </c>
      <c r="U7" s="298" t="s">
        <v>2</v>
      </c>
      <c r="V7" s="296" t="s">
        <v>285</v>
      </c>
      <c r="W7" s="296" t="s">
        <v>2</v>
      </c>
      <c r="X7" s="298" t="s">
        <v>2</v>
      </c>
      <c r="Y7" s="299"/>
    </row>
    <row r="8" spans="1:25" ht="12.75">
      <c r="A8" s="39" t="s">
        <v>286</v>
      </c>
      <c r="B8" s="292" t="s">
        <v>287</v>
      </c>
      <c r="C8" s="300">
        <v>54</v>
      </c>
      <c r="D8" s="301">
        <v>0.2</v>
      </c>
      <c r="E8" s="302">
        <f>D8*C8</f>
        <v>10.8</v>
      </c>
      <c r="F8" s="303">
        <f>D5*E8</f>
        <v>108</v>
      </c>
      <c r="G8" s="301">
        <v>0.2</v>
      </c>
      <c r="H8" s="302">
        <f>G8*C8</f>
        <v>10.8</v>
      </c>
      <c r="I8" s="303">
        <f>ABS(G5*H8)</f>
        <v>108</v>
      </c>
      <c r="J8" s="302"/>
      <c r="K8" s="302"/>
      <c r="L8" s="303">
        <f>J5*K8</f>
        <v>0</v>
      </c>
      <c r="M8" s="302"/>
      <c r="N8" s="302"/>
      <c r="O8" s="303">
        <f>ABS(M5*N8)</f>
        <v>0</v>
      </c>
      <c r="P8" s="302"/>
      <c r="Q8" s="302"/>
      <c r="R8" s="303">
        <f>P5*Q8</f>
        <v>0</v>
      </c>
      <c r="S8" s="302"/>
      <c r="T8" s="302"/>
      <c r="U8" s="303">
        <f>S5*T8</f>
        <v>0</v>
      </c>
      <c r="V8" s="302"/>
      <c r="W8" s="302"/>
      <c r="X8" s="303">
        <f>V5*W8</f>
        <v>0</v>
      </c>
      <c r="Y8" s="299">
        <f aca="true" t="shared" si="0" ref="Y8:Y19">F8+I8+L8+O8+R8+U8+X8</f>
        <v>216</v>
      </c>
    </row>
    <row r="9" spans="1:25" ht="12.75">
      <c r="A9" s="39" t="s">
        <v>288</v>
      </c>
      <c r="B9" s="292" t="s">
        <v>289</v>
      </c>
      <c r="C9" s="300">
        <v>18</v>
      </c>
      <c r="D9" s="302"/>
      <c r="E9" s="302"/>
      <c r="F9" s="303">
        <f>D5*E9</f>
        <v>0</v>
      </c>
      <c r="G9" s="302"/>
      <c r="H9" s="302"/>
      <c r="I9" s="303">
        <f>ABS(G5*H9)</f>
        <v>0</v>
      </c>
      <c r="J9" s="302">
        <v>0.85</v>
      </c>
      <c r="K9" s="302">
        <f>J9*C9</f>
        <v>15.299999999999999</v>
      </c>
      <c r="L9" s="303">
        <f>J5*K9</f>
        <v>84.14999999999999</v>
      </c>
      <c r="M9" s="302">
        <v>0.85</v>
      </c>
      <c r="N9" s="302">
        <f>M9*C9</f>
        <v>15.299999999999999</v>
      </c>
      <c r="O9" s="303">
        <f>ABS(M5*N9)</f>
        <v>84.14999999999999</v>
      </c>
      <c r="P9" s="302"/>
      <c r="Q9" s="302"/>
      <c r="R9" s="303">
        <f>P5*Q9</f>
        <v>0</v>
      </c>
      <c r="S9" s="302"/>
      <c r="T9" s="302"/>
      <c r="U9" s="303">
        <f>S5*T9</f>
        <v>0</v>
      </c>
      <c r="V9" s="302"/>
      <c r="W9" s="302"/>
      <c r="X9" s="303">
        <f>V5*W9</f>
        <v>0</v>
      </c>
      <c r="Y9" s="299">
        <f t="shared" si="0"/>
        <v>168.29999999999998</v>
      </c>
    </row>
    <row r="10" spans="1:25" ht="12.75">
      <c r="A10" s="39" t="s">
        <v>290</v>
      </c>
      <c r="B10" s="292" t="s">
        <v>287</v>
      </c>
      <c r="C10" s="300">
        <v>2</v>
      </c>
      <c r="D10" s="301"/>
      <c r="E10" s="302"/>
      <c r="F10" s="303">
        <f>D5*E10</f>
        <v>0</v>
      </c>
      <c r="G10" s="301"/>
      <c r="H10" s="302"/>
      <c r="I10" s="303">
        <f>ABS(G5*H10)</f>
        <v>0</v>
      </c>
      <c r="J10" s="302">
        <v>0.2</v>
      </c>
      <c r="K10" s="302">
        <f>J10*C10</f>
        <v>0.4</v>
      </c>
      <c r="L10" s="303">
        <f>J5*K10</f>
        <v>2.2</v>
      </c>
      <c r="M10" s="302">
        <v>0.2</v>
      </c>
      <c r="N10" s="302">
        <f>M10*C10</f>
        <v>0.4</v>
      </c>
      <c r="O10" s="303">
        <f>ABS(M5*N10)</f>
        <v>2.2</v>
      </c>
      <c r="P10" s="302"/>
      <c r="Q10" s="302"/>
      <c r="R10" s="303">
        <f>P5*Q10</f>
        <v>0</v>
      </c>
      <c r="S10" s="302"/>
      <c r="T10" s="302"/>
      <c r="U10" s="303">
        <f>S5*T10</f>
        <v>0</v>
      </c>
      <c r="V10" s="302"/>
      <c r="W10" s="302"/>
      <c r="X10" s="303">
        <f>V5*W10</f>
        <v>0</v>
      </c>
      <c r="Y10" s="299">
        <f t="shared" si="0"/>
        <v>4.4</v>
      </c>
    </row>
    <row r="11" spans="1:25" ht="12.75">
      <c r="A11" s="39" t="s">
        <v>291</v>
      </c>
      <c r="B11" s="292" t="s">
        <v>287</v>
      </c>
      <c r="C11" s="300">
        <v>18</v>
      </c>
      <c r="D11" s="301">
        <v>0.2</v>
      </c>
      <c r="E11" s="302">
        <f>D11*C11</f>
        <v>3.6</v>
      </c>
      <c r="F11" s="303">
        <f>D5*E11</f>
        <v>36</v>
      </c>
      <c r="G11" s="301">
        <v>0.2</v>
      </c>
      <c r="H11" s="302">
        <f>G11*C11</f>
        <v>3.6</v>
      </c>
      <c r="I11" s="303">
        <f>ABS(G5*H11)</f>
        <v>36</v>
      </c>
      <c r="J11" s="302"/>
      <c r="K11" s="302"/>
      <c r="L11" s="303">
        <f>J5*K11</f>
        <v>0</v>
      </c>
      <c r="M11" s="302"/>
      <c r="N11" s="302"/>
      <c r="O11" s="303">
        <f>ABS(M5*N11)</f>
        <v>0</v>
      </c>
      <c r="P11" s="302"/>
      <c r="Q11" s="302"/>
      <c r="R11" s="303">
        <f>P5*Q11</f>
        <v>0</v>
      </c>
      <c r="S11" s="302"/>
      <c r="T11" s="302"/>
      <c r="U11" s="303">
        <f>S5*T11</f>
        <v>0</v>
      </c>
      <c r="V11" s="302"/>
      <c r="W11" s="302"/>
      <c r="X11" s="303">
        <f>V5*W11</f>
        <v>0</v>
      </c>
      <c r="Y11" s="299">
        <f t="shared" si="0"/>
        <v>72</v>
      </c>
    </row>
    <row r="12" spans="1:25" ht="12.75">
      <c r="A12" s="39" t="s">
        <v>292</v>
      </c>
      <c r="B12" s="292" t="s">
        <v>289</v>
      </c>
      <c r="C12" s="300">
        <v>6</v>
      </c>
      <c r="D12" s="302"/>
      <c r="E12" s="302"/>
      <c r="F12" s="303">
        <f>D5*E12</f>
        <v>0</v>
      </c>
      <c r="G12" s="302"/>
      <c r="H12" s="302"/>
      <c r="I12" s="303">
        <f>ABS(G5*H12)</f>
        <v>0</v>
      </c>
      <c r="J12" s="301">
        <v>0.85</v>
      </c>
      <c r="K12" s="302">
        <f>J12*C12</f>
        <v>5.1</v>
      </c>
      <c r="L12" s="303">
        <f>J5*K12</f>
        <v>28.049999999999997</v>
      </c>
      <c r="M12" s="301">
        <v>0.85</v>
      </c>
      <c r="N12" s="302">
        <f>M12*C12</f>
        <v>5.1</v>
      </c>
      <c r="O12" s="303">
        <f>ABS(M5*N12)</f>
        <v>28.049999999999997</v>
      </c>
      <c r="P12" s="302"/>
      <c r="Q12" s="302"/>
      <c r="R12" s="303">
        <f>P5*Q12</f>
        <v>0</v>
      </c>
      <c r="S12" s="302"/>
      <c r="T12" s="302"/>
      <c r="U12" s="303">
        <f>S5*T12</f>
        <v>0</v>
      </c>
      <c r="V12" s="301"/>
      <c r="W12" s="302"/>
      <c r="X12" s="303">
        <f>V5*W12</f>
        <v>0</v>
      </c>
      <c r="Y12" s="299">
        <f t="shared" si="0"/>
        <v>56.099999999999994</v>
      </c>
    </row>
    <row r="13" spans="1:25" ht="12.75">
      <c r="A13" s="39" t="s">
        <v>293</v>
      </c>
      <c r="B13" s="292" t="s">
        <v>294</v>
      </c>
      <c r="C13" s="300">
        <v>13</v>
      </c>
      <c r="D13" s="302">
        <v>1</v>
      </c>
      <c r="E13" s="302">
        <f>D13*C13</f>
        <v>13</v>
      </c>
      <c r="F13" s="303">
        <f>D5*E13</f>
        <v>130</v>
      </c>
      <c r="G13" s="302">
        <v>0.1</v>
      </c>
      <c r="H13" s="302">
        <f>G13*C13</f>
        <v>1.3</v>
      </c>
      <c r="I13" s="303">
        <f>ABS(G5*H13)</f>
        <v>13</v>
      </c>
      <c r="J13" s="302"/>
      <c r="K13" s="302"/>
      <c r="L13" s="303">
        <f>J5*K13</f>
        <v>0</v>
      </c>
      <c r="M13" s="302"/>
      <c r="N13" s="302"/>
      <c r="O13" s="303">
        <f>ABS(M5*N13)</f>
        <v>0</v>
      </c>
      <c r="P13" s="302"/>
      <c r="Q13" s="302"/>
      <c r="R13" s="303">
        <f>P5*Q13</f>
        <v>0</v>
      </c>
      <c r="S13" s="302"/>
      <c r="T13" s="302"/>
      <c r="U13" s="303">
        <f>S5*T13</f>
        <v>0</v>
      </c>
      <c r="V13" s="302"/>
      <c r="W13" s="302"/>
      <c r="X13" s="303">
        <f>V5*W13</f>
        <v>0</v>
      </c>
      <c r="Y13" s="299">
        <f t="shared" si="0"/>
        <v>143</v>
      </c>
    </row>
    <row r="14" spans="1:25" ht="12.75">
      <c r="A14" s="39" t="s">
        <v>295</v>
      </c>
      <c r="B14" s="292" t="s">
        <v>289</v>
      </c>
      <c r="C14" s="300">
        <v>2</v>
      </c>
      <c r="D14" s="302"/>
      <c r="E14" s="302"/>
      <c r="F14" s="303">
        <f>D5*E14</f>
        <v>0</v>
      </c>
      <c r="G14" s="302"/>
      <c r="H14" s="302"/>
      <c r="I14" s="303">
        <f>ABS(G5*H14)</f>
        <v>0</v>
      </c>
      <c r="J14" s="301">
        <v>0.85</v>
      </c>
      <c r="K14" s="302">
        <f>J14*C14</f>
        <v>1.7</v>
      </c>
      <c r="L14" s="303">
        <f>J5*K14</f>
        <v>9.35</v>
      </c>
      <c r="M14" s="301">
        <v>0.85</v>
      </c>
      <c r="N14" s="302">
        <f>M14*C14</f>
        <v>1.7</v>
      </c>
      <c r="O14" s="303">
        <f>ABS(M5*N14)</f>
        <v>9.35</v>
      </c>
      <c r="P14" s="302"/>
      <c r="Q14" s="302"/>
      <c r="R14" s="303">
        <f>P5*Q14</f>
        <v>0</v>
      </c>
      <c r="S14" s="302"/>
      <c r="T14" s="302"/>
      <c r="U14" s="303">
        <f>S5*T14</f>
        <v>0</v>
      </c>
      <c r="V14" s="301"/>
      <c r="W14" s="302"/>
      <c r="X14" s="303">
        <f>V5*W14</f>
        <v>0</v>
      </c>
      <c r="Y14" s="299">
        <f t="shared" si="0"/>
        <v>18.7</v>
      </c>
    </row>
    <row r="15" spans="1:25" ht="12.75">
      <c r="A15" s="304" t="s">
        <v>162</v>
      </c>
      <c r="B15" s="305" t="s">
        <v>233</v>
      </c>
      <c r="C15" s="300">
        <v>2</v>
      </c>
      <c r="D15" s="302"/>
      <c r="E15" s="302"/>
      <c r="F15" s="303">
        <f>D5*E15</f>
        <v>0</v>
      </c>
      <c r="G15" s="302"/>
      <c r="H15" s="302"/>
      <c r="I15" s="303">
        <f>ABS(G5*H15)</f>
        <v>0</v>
      </c>
      <c r="J15" s="302">
        <v>30</v>
      </c>
      <c r="K15" s="302">
        <f>J15*C15</f>
        <v>60</v>
      </c>
      <c r="L15" s="303">
        <f>J5*K15</f>
        <v>330</v>
      </c>
      <c r="M15" s="302">
        <v>40</v>
      </c>
      <c r="N15" s="302">
        <f>M15*C15</f>
        <v>80</v>
      </c>
      <c r="O15" s="303">
        <f>ABS(M5*N15)</f>
        <v>440</v>
      </c>
      <c r="P15" s="302"/>
      <c r="Q15" s="302"/>
      <c r="R15" s="303">
        <f>P5*Q15</f>
        <v>0</v>
      </c>
      <c r="S15" s="302"/>
      <c r="T15" s="302"/>
      <c r="U15" s="303">
        <f>S5*T15</f>
        <v>0</v>
      </c>
      <c r="V15" s="302"/>
      <c r="W15" s="302"/>
      <c r="X15" s="303">
        <f>V5*W15</f>
        <v>0</v>
      </c>
      <c r="Y15" s="299">
        <f t="shared" si="0"/>
        <v>770</v>
      </c>
    </row>
    <row r="16" spans="1:25" ht="12.75">
      <c r="A16" s="39" t="s">
        <v>296</v>
      </c>
      <c r="B16" s="292" t="s">
        <v>287</v>
      </c>
      <c r="C16" s="300">
        <v>4</v>
      </c>
      <c r="D16" s="301">
        <v>0.2</v>
      </c>
      <c r="E16" s="302">
        <f>D16*C16</f>
        <v>0.8</v>
      </c>
      <c r="F16" s="303">
        <f>D5*E16</f>
        <v>8</v>
      </c>
      <c r="G16" s="301">
        <v>0.2</v>
      </c>
      <c r="H16" s="302">
        <f>G16*C16</f>
        <v>0.8</v>
      </c>
      <c r="I16" s="303">
        <f>ABS(G5*H16)</f>
        <v>8</v>
      </c>
      <c r="J16" s="302"/>
      <c r="K16" s="302"/>
      <c r="L16" s="303">
        <f>J5*K16</f>
        <v>0</v>
      </c>
      <c r="M16" s="302"/>
      <c r="N16" s="302"/>
      <c r="O16" s="303">
        <f>ABS(M5*N16)</f>
        <v>0</v>
      </c>
      <c r="P16" s="302"/>
      <c r="Q16" s="302"/>
      <c r="R16" s="303">
        <f>P5*Q16</f>
        <v>0</v>
      </c>
      <c r="S16" s="302"/>
      <c r="T16" s="302"/>
      <c r="U16" s="303">
        <f>S5*T16</f>
        <v>0</v>
      </c>
      <c r="V16" s="302"/>
      <c r="W16" s="302"/>
      <c r="X16" s="303">
        <f>V5*W16</f>
        <v>0</v>
      </c>
      <c r="Y16" s="299">
        <f t="shared" si="0"/>
        <v>16</v>
      </c>
    </row>
    <row r="17" spans="1:25" ht="12.75">
      <c r="A17" s="39" t="s">
        <v>296</v>
      </c>
      <c r="B17" s="292" t="s">
        <v>287</v>
      </c>
      <c r="C17" s="300">
        <v>2</v>
      </c>
      <c r="D17" s="301"/>
      <c r="E17" s="302"/>
      <c r="F17" s="303">
        <f>D5*E17</f>
        <v>0</v>
      </c>
      <c r="G17" s="301"/>
      <c r="H17" s="302"/>
      <c r="I17" s="303">
        <f>ABS(G5*H17)</f>
        <v>0</v>
      </c>
      <c r="J17" s="302">
        <v>0.2</v>
      </c>
      <c r="K17" s="302">
        <f>J17*C17</f>
        <v>0.4</v>
      </c>
      <c r="L17" s="303">
        <f>J5*K17</f>
        <v>2.2</v>
      </c>
      <c r="M17" s="302">
        <v>0.2</v>
      </c>
      <c r="N17" s="302">
        <f>M17*C17</f>
        <v>0.4</v>
      </c>
      <c r="O17" s="303">
        <f>ABS(M5*N17)</f>
        <v>2.2</v>
      </c>
      <c r="P17" s="302"/>
      <c r="Q17" s="302"/>
      <c r="R17" s="303">
        <f>P5*Q17</f>
        <v>0</v>
      </c>
      <c r="S17" s="302"/>
      <c r="T17" s="302"/>
      <c r="U17" s="303">
        <f>S5*T17</f>
        <v>0</v>
      </c>
      <c r="V17" s="302"/>
      <c r="W17" s="302"/>
      <c r="X17" s="303">
        <f>V5*W17</f>
        <v>0</v>
      </c>
      <c r="Y17" s="299">
        <f t="shared" si="0"/>
        <v>4.4</v>
      </c>
    </row>
    <row r="18" spans="1:25" ht="12.75">
      <c r="A18" s="39" t="s">
        <v>296</v>
      </c>
      <c r="B18" s="292" t="s">
        <v>297</v>
      </c>
      <c r="C18" s="300">
        <v>1</v>
      </c>
      <c r="D18" s="301">
        <v>2</v>
      </c>
      <c r="E18" s="302">
        <f>D18*C18</f>
        <v>2</v>
      </c>
      <c r="F18" s="303">
        <f>D5*E18</f>
        <v>20</v>
      </c>
      <c r="G18" s="301"/>
      <c r="H18" s="302"/>
      <c r="I18" s="303">
        <f>ABS(G5*H18)</f>
        <v>0</v>
      </c>
      <c r="J18" s="302"/>
      <c r="K18" s="302"/>
      <c r="L18" s="303">
        <f>J5*K18</f>
        <v>0</v>
      </c>
      <c r="M18" s="302"/>
      <c r="N18" s="302"/>
      <c r="O18" s="303">
        <f>ABS(M5*N18)</f>
        <v>0</v>
      </c>
      <c r="P18" s="302"/>
      <c r="Q18" s="302"/>
      <c r="R18" s="303">
        <f>P5*Q18</f>
        <v>0</v>
      </c>
      <c r="S18" s="302"/>
      <c r="T18" s="302"/>
      <c r="U18" s="303">
        <f>S5*T18</f>
        <v>0</v>
      </c>
      <c r="V18" s="302"/>
      <c r="W18" s="302"/>
      <c r="X18" s="303">
        <f>V5*W18</f>
        <v>0</v>
      </c>
      <c r="Y18" s="299">
        <f t="shared" si="0"/>
        <v>20</v>
      </c>
    </row>
    <row r="19" spans="1:25" ht="12.75">
      <c r="A19" s="112" t="s">
        <v>165</v>
      </c>
      <c r="B19" s="305"/>
      <c r="C19" s="300"/>
      <c r="D19" s="302">
        <f aca="true" t="shared" si="1" ref="D19:X19">SUM(D8:D18)</f>
        <v>3.5999999999999996</v>
      </c>
      <c r="E19" s="302">
        <f t="shared" si="1"/>
        <v>30.2</v>
      </c>
      <c r="F19" s="303">
        <f t="shared" si="1"/>
        <v>302</v>
      </c>
      <c r="G19" s="302">
        <f t="shared" si="1"/>
        <v>0.7</v>
      </c>
      <c r="H19" s="302">
        <f t="shared" si="1"/>
        <v>16.5</v>
      </c>
      <c r="I19" s="303">
        <f t="shared" si="1"/>
        <v>165</v>
      </c>
      <c r="J19" s="302">
        <f t="shared" si="1"/>
        <v>32.95</v>
      </c>
      <c r="K19" s="302">
        <f t="shared" si="1"/>
        <v>82.9</v>
      </c>
      <c r="L19" s="303">
        <f t="shared" si="1"/>
        <v>455.95</v>
      </c>
      <c r="M19" s="302">
        <f t="shared" si="1"/>
        <v>42.95</v>
      </c>
      <c r="N19" s="314">
        <f t="shared" si="1"/>
        <v>102.9</v>
      </c>
      <c r="O19" s="303">
        <f t="shared" si="1"/>
        <v>565.95</v>
      </c>
      <c r="P19" s="302">
        <f t="shared" si="1"/>
        <v>0</v>
      </c>
      <c r="Q19" s="302">
        <f t="shared" si="1"/>
        <v>0</v>
      </c>
      <c r="R19" s="303">
        <f t="shared" si="1"/>
        <v>0</v>
      </c>
      <c r="S19" s="302">
        <f t="shared" si="1"/>
        <v>0</v>
      </c>
      <c r="T19" s="302">
        <f t="shared" si="1"/>
        <v>0</v>
      </c>
      <c r="U19" s="303">
        <f t="shared" si="1"/>
        <v>0</v>
      </c>
      <c r="V19" s="302">
        <f t="shared" si="1"/>
        <v>0</v>
      </c>
      <c r="W19" s="302">
        <f t="shared" si="1"/>
        <v>0</v>
      </c>
      <c r="X19" s="303">
        <f t="shared" si="1"/>
        <v>0</v>
      </c>
      <c r="Y19" s="306">
        <f t="shared" si="0"/>
        <v>1488.9</v>
      </c>
    </row>
    <row r="20" spans="1:25" s="199" customFormat="1" ht="12.75">
      <c r="A20" s="31"/>
      <c r="B20" s="305"/>
      <c r="C20" s="300"/>
      <c r="D20" s="302"/>
      <c r="E20" s="302"/>
      <c r="F20" s="303"/>
      <c r="G20" s="302"/>
      <c r="H20" s="302"/>
      <c r="I20" s="303"/>
      <c r="J20" s="302"/>
      <c r="K20" s="302"/>
      <c r="L20" s="303"/>
      <c r="M20" s="302"/>
      <c r="N20" s="302"/>
      <c r="O20" s="303"/>
      <c r="P20" s="302"/>
      <c r="Q20" s="302"/>
      <c r="R20" s="303"/>
      <c r="S20" s="302"/>
      <c r="T20" s="302"/>
      <c r="U20" s="303"/>
      <c r="V20" s="302"/>
      <c r="W20" s="302"/>
      <c r="X20" s="303"/>
      <c r="Y20" s="299"/>
    </row>
    <row r="21" spans="1:25" s="199" customFormat="1" ht="12.75">
      <c r="A21" s="307" t="s">
        <v>166</v>
      </c>
      <c r="B21" s="305"/>
      <c r="C21" s="300"/>
      <c r="D21" s="302"/>
      <c r="E21" s="302"/>
      <c r="F21" s="303"/>
      <c r="G21" s="302"/>
      <c r="H21" s="302"/>
      <c r="I21" s="303"/>
      <c r="J21" s="302"/>
      <c r="K21" s="302"/>
      <c r="L21" s="303"/>
      <c r="M21" s="302"/>
      <c r="N21" s="302"/>
      <c r="O21" s="303"/>
      <c r="P21" s="302"/>
      <c r="Q21" s="302"/>
      <c r="R21" s="303"/>
      <c r="S21" s="302"/>
      <c r="T21" s="302"/>
      <c r="U21" s="303"/>
      <c r="V21" s="302"/>
      <c r="W21" s="302"/>
      <c r="X21" s="303"/>
      <c r="Y21" s="299"/>
    </row>
    <row r="22" spans="1:25" ht="12.75">
      <c r="A22" s="31" t="s">
        <v>298</v>
      </c>
      <c r="B22" s="292" t="s">
        <v>299</v>
      </c>
      <c r="C22" s="300">
        <v>1</v>
      </c>
      <c r="D22" s="302"/>
      <c r="E22" s="302"/>
      <c r="F22" s="303">
        <f>D5*E22</f>
        <v>0</v>
      </c>
      <c r="G22" s="302"/>
      <c r="H22" s="302"/>
      <c r="I22" s="303">
        <f>ABS(G5*H22)</f>
        <v>0</v>
      </c>
      <c r="J22" s="302"/>
      <c r="K22" s="302"/>
      <c r="L22" s="303">
        <f>J5*K22</f>
        <v>0</v>
      </c>
      <c r="M22" s="302"/>
      <c r="N22" s="302"/>
      <c r="O22" s="303">
        <f>ABS(M5*N22)</f>
        <v>0</v>
      </c>
      <c r="P22" s="302">
        <v>66</v>
      </c>
      <c r="Q22" s="302">
        <f>P22*C22</f>
        <v>66</v>
      </c>
      <c r="R22" s="303">
        <f>P5*Q22</f>
        <v>237.6</v>
      </c>
      <c r="S22" s="302">
        <v>380</v>
      </c>
      <c r="T22" s="302">
        <f>S22*C22</f>
        <v>380</v>
      </c>
      <c r="U22" s="303">
        <f>S5*T22</f>
        <v>684</v>
      </c>
      <c r="V22" s="302"/>
      <c r="W22" s="302"/>
      <c r="X22" s="303">
        <f>V5*W22</f>
        <v>0</v>
      </c>
      <c r="Y22" s="299">
        <f aca="true" t="shared" si="2" ref="Y22:Y31">F22+I22+L22+O22+R22+U22+X22</f>
        <v>921.6</v>
      </c>
    </row>
    <row r="23" spans="1:25" ht="12.75">
      <c r="A23" s="31" t="s">
        <v>300</v>
      </c>
      <c r="B23" s="292" t="s">
        <v>301</v>
      </c>
      <c r="C23" s="300">
        <v>2</v>
      </c>
      <c r="D23" s="302"/>
      <c r="E23" s="302"/>
      <c r="F23" s="303">
        <f>D5*E23</f>
        <v>0</v>
      </c>
      <c r="G23" s="302"/>
      <c r="H23" s="302"/>
      <c r="I23" s="303">
        <f>ABS(G5*H23)</f>
        <v>0</v>
      </c>
      <c r="J23" s="302"/>
      <c r="K23" s="302"/>
      <c r="L23" s="303">
        <f>J5*K23</f>
        <v>0</v>
      </c>
      <c r="M23" s="302"/>
      <c r="N23" s="302"/>
      <c r="O23" s="303">
        <f>ABS(M5*N23)</f>
        <v>0</v>
      </c>
      <c r="P23" s="302"/>
      <c r="Q23" s="302"/>
      <c r="R23" s="303">
        <f>P5*Q23</f>
        <v>0</v>
      </c>
      <c r="S23" s="302"/>
      <c r="T23" s="302"/>
      <c r="U23" s="303">
        <f>S5*T23</f>
        <v>0</v>
      </c>
      <c r="V23" s="302">
        <v>4</v>
      </c>
      <c r="W23" s="302">
        <f>V23*C23</f>
        <v>8</v>
      </c>
      <c r="X23" s="303">
        <f>V5*W23</f>
        <v>40</v>
      </c>
      <c r="Y23" s="299">
        <f t="shared" si="2"/>
        <v>40</v>
      </c>
    </row>
    <row r="24" spans="1:25" ht="12.75">
      <c r="A24" s="39" t="s">
        <v>300</v>
      </c>
      <c r="B24" s="292" t="s">
        <v>297</v>
      </c>
      <c r="C24" s="300">
        <v>1</v>
      </c>
      <c r="D24" s="301"/>
      <c r="E24" s="302"/>
      <c r="F24" s="303">
        <f>D5*E24</f>
        <v>0</v>
      </c>
      <c r="G24" s="301"/>
      <c r="H24" s="302"/>
      <c r="I24" s="303">
        <f>ABS(G5*H24)</f>
        <v>0</v>
      </c>
      <c r="J24" s="302"/>
      <c r="K24" s="302"/>
      <c r="L24" s="303">
        <f>J5*K24</f>
        <v>0</v>
      </c>
      <c r="M24" s="302"/>
      <c r="N24" s="302"/>
      <c r="O24" s="303">
        <f>ABS(M13*N24)</f>
        <v>0</v>
      </c>
      <c r="P24" s="302"/>
      <c r="Q24" s="302"/>
      <c r="R24" s="303">
        <f>P5*Q24</f>
        <v>0</v>
      </c>
      <c r="S24" s="302"/>
      <c r="T24" s="302"/>
      <c r="U24" s="303">
        <f>S5*T24</f>
        <v>0</v>
      </c>
      <c r="V24" s="302">
        <v>2</v>
      </c>
      <c r="W24" s="302">
        <f>V24*C24</f>
        <v>2</v>
      </c>
      <c r="X24" s="303">
        <f>V5*W24</f>
        <v>10</v>
      </c>
      <c r="Y24" s="299">
        <f t="shared" si="2"/>
        <v>10</v>
      </c>
    </row>
    <row r="25" spans="1:25" ht="12.75">
      <c r="A25" s="39" t="s">
        <v>300</v>
      </c>
      <c r="B25" s="292" t="s">
        <v>289</v>
      </c>
      <c r="C25" s="300">
        <v>2</v>
      </c>
      <c r="D25" s="302"/>
      <c r="E25" s="302"/>
      <c r="F25" s="303">
        <f>D5*E25</f>
        <v>0</v>
      </c>
      <c r="G25" s="302"/>
      <c r="H25" s="302"/>
      <c r="I25" s="303">
        <f>ABS(G5*H25)</f>
        <v>0</v>
      </c>
      <c r="J25" s="301"/>
      <c r="K25" s="302"/>
      <c r="L25" s="303">
        <f>J5*K25</f>
        <v>0</v>
      </c>
      <c r="M25" s="301"/>
      <c r="N25" s="302"/>
      <c r="O25" s="303">
        <f>ABS(M5*N25)</f>
        <v>0</v>
      </c>
      <c r="P25" s="302"/>
      <c r="Q25" s="302"/>
      <c r="R25" s="303">
        <f>P5*Q25</f>
        <v>0</v>
      </c>
      <c r="S25" s="302"/>
      <c r="T25" s="302"/>
      <c r="U25" s="303">
        <f>S5*T25</f>
        <v>0</v>
      </c>
      <c r="V25" s="301">
        <v>0.85</v>
      </c>
      <c r="W25" s="302">
        <f>V25*C25</f>
        <v>1.7</v>
      </c>
      <c r="X25" s="303">
        <f>V5*W25</f>
        <v>8.5</v>
      </c>
      <c r="Y25" s="299">
        <f t="shared" si="2"/>
        <v>8.5</v>
      </c>
    </row>
    <row r="26" spans="1:25" ht="12.75">
      <c r="A26" s="39" t="s">
        <v>210</v>
      </c>
      <c r="B26" s="292" t="s">
        <v>302</v>
      </c>
      <c r="C26" s="300">
        <v>1</v>
      </c>
      <c r="D26" s="302"/>
      <c r="E26" s="302"/>
      <c r="F26" s="303">
        <f>D5*E26</f>
        <v>0</v>
      </c>
      <c r="G26" s="302"/>
      <c r="H26" s="302"/>
      <c r="I26" s="303">
        <f>ABS(G5*H26)</f>
        <v>0</v>
      </c>
      <c r="J26" s="302"/>
      <c r="K26" s="302"/>
      <c r="L26" s="303">
        <f>J5*K26</f>
        <v>0</v>
      </c>
      <c r="M26" s="302"/>
      <c r="N26" s="302"/>
      <c r="O26" s="303">
        <f>ABS(M5*N26)</f>
        <v>0</v>
      </c>
      <c r="P26" s="302">
        <v>45</v>
      </c>
      <c r="Q26" s="302">
        <f>P26*C26</f>
        <v>45</v>
      </c>
      <c r="R26" s="303">
        <f>P5*Q26</f>
        <v>162</v>
      </c>
      <c r="S26" s="302"/>
      <c r="T26" s="302"/>
      <c r="U26" s="303">
        <f>S5*T26</f>
        <v>0</v>
      </c>
      <c r="V26" s="302"/>
      <c r="W26" s="302"/>
      <c r="X26" s="303">
        <f>V5*W26</f>
        <v>0</v>
      </c>
      <c r="Y26" s="299">
        <f t="shared" si="2"/>
        <v>162</v>
      </c>
    </row>
    <row r="27" spans="1:25" ht="12.75">
      <c r="A27" s="39" t="s">
        <v>303</v>
      </c>
      <c r="B27" s="292" t="s">
        <v>304</v>
      </c>
      <c r="C27" s="300">
        <v>1</v>
      </c>
      <c r="D27" s="302"/>
      <c r="E27" s="302"/>
      <c r="F27" s="303">
        <f>D5*E27</f>
        <v>0</v>
      </c>
      <c r="G27" s="302"/>
      <c r="H27" s="302"/>
      <c r="I27" s="303">
        <f>ABS(G5*H27)</f>
        <v>0</v>
      </c>
      <c r="J27" s="302"/>
      <c r="K27" s="302"/>
      <c r="L27" s="303">
        <f>J5*K27</f>
        <v>0</v>
      </c>
      <c r="M27" s="302"/>
      <c r="N27" s="302"/>
      <c r="O27" s="303">
        <f>ABS(M5*N27)</f>
        <v>0</v>
      </c>
      <c r="P27" s="302">
        <v>3</v>
      </c>
      <c r="Q27" s="302">
        <f>P27*C27</f>
        <v>3</v>
      </c>
      <c r="R27" s="303">
        <f>P5*Q27</f>
        <v>10.8</v>
      </c>
      <c r="S27" s="302"/>
      <c r="T27" s="302"/>
      <c r="U27" s="303">
        <f>S5*T27</f>
        <v>0</v>
      </c>
      <c r="V27" s="302">
        <v>3</v>
      </c>
      <c r="W27" s="302">
        <f>V27*C27</f>
        <v>3</v>
      </c>
      <c r="X27" s="303">
        <f>V5*W27</f>
        <v>15</v>
      </c>
      <c r="Y27" s="299">
        <f t="shared" si="2"/>
        <v>25.8</v>
      </c>
    </row>
    <row r="28" spans="1:25" ht="12.75">
      <c r="A28" s="39" t="s">
        <v>305</v>
      </c>
      <c r="B28" s="292" t="s">
        <v>306</v>
      </c>
      <c r="C28" s="300">
        <v>1</v>
      </c>
      <c r="D28" s="302"/>
      <c r="E28" s="302"/>
      <c r="F28" s="303">
        <f>D5*E28</f>
        <v>0</v>
      </c>
      <c r="G28" s="302"/>
      <c r="H28" s="302"/>
      <c r="I28" s="303">
        <f>ABS(G5*H28)</f>
        <v>0</v>
      </c>
      <c r="J28" s="302"/>
      <c r="K28" s="302"/>
      <c r="L28" s="303">
        <f>J5*K28</f>
        <v>0</v>
      </c>
      <c r="M28" s="302"/>
      <c r="N28" s="302"/>
      <c r="O28" s="303">
        <f>ABS(M5*N28)</f>
        <v>0</v>
      </c>
      <c r="P28" s="302">
        <v>3</v>
      </c>
      <c r="Q28" s="302">
        <f>P28*C28</f>
        <v>3</v>
      </c>
      <c r="R28" s="303">
        <f>P5*Q28</f>
        <v>10.8</v>
      </c>
      <c r="S28" s="302"/>
      <c r="T28" s="302"/>
      <c r="U28" s="303">
        <f>S5*T28</f>
        <v>0</v>
      </c>
      <c r="V28" s="302"/>
      <c r="W28" s="302"/>
      <c r="X28" s="303">
        <f>V5*W28</f>
        <v>0</v>
      </c>
      <c r="Y28" s="299">
        <f t="shared" si="2"/>
        <v>10.8</v>
      </c>
    </row>
    <row r="29" spans="1:25" ht="12.75">
      <c r="A29" s="39" t="s">
        <v>307</v>
      </c>
      <c r="B29" s="292" t="s">
        <v>306</v>
      </c>
      <c r="C29" s="300">
        <v>1</v>
      </c>
      <c r="D29" s="302"/>
      <c r="E29" s="302"/>
      <c r="F29" s="303">
        <f>D5*E29</f>
        <v>0</v>
      </c>
      <c r="G29" s="302"/>
      <c r="H29" s="302"/>
      <c r="I29" s="303">
        <f>ABS(G5*H29)</f>
        <v>0</v>
      </c>
      <c r="J29" s="302"/>
      <c r="K29" s="302"/>
      <c r="L29" s="303">
        <f>J5*K29</f>
        <v>0</v>
      </c>
      <c r="M29" s="302"/>
      <c r="N29" s="302"/>
      <c r="O29" s="303">
        <f>ABS(M5*N29)</f>
        <v>0</v>
      </c>
      <c r="P29" s="302">
        <v>1</v>
      </c>
      <c r="Q29" s="302">
        <f>P29*C29</f>
        <v>1</v>
      </c>
      <c r="R29" s="303">
        <f>P5*Q29</f>
        <v>3.6</v>
      </c>
      <c r="S29" s="302"/>
      <c r="T29" s="302"/>
      <c r="U29" s="303">
        <f>S5*T29</f>
        <v>0</v>
      </c>
      <c r="V29" s="302"/>
      <c r="W29" s="302"/>
      <c r="X29" s="303">
        <f>V5*W29</f>
        <v>0</v>
      </c>
      <c r="Y29" s="299">
        <f t="shared" si="2"/>
        <v>3.6</v>
      </c>
    </row>
    <row r="30" spans="1:25" ht="12.75">
      <c r="A30" s="39" t="s">
        <v>307</v>
      </c>
      <c r="B30" s="292" t="s">
        <v>287</v>
      </c>
      <c r="C30" s="300">
        <v>1</v>
      </c>
      <c r="D30" s="301">
        <v>0.2</v>
      </c>
      <c r="E30" s="302">
        <f>D30*C30</f>
        <v>0.2</v>
      </c>
      <c r="F30" s="303">
        <f>D5*E30</f>
        <v>2</v>
      </c>
      <c r="G30" s="301"/>
      <c r="H30" s="302"/>
      <c r="I30" s="303">
        <f>ABS(G5*H30)</f>
        <v>0</v>
      </c>
      <c r="J30" s="302"/>
      <c r="K30" s="302"/>
      <c r="L30" s="303">
        <f>J5*K30</f>
        <v>0</v>
      </c>
      <c r="M30" s="302"/>
      <c r="N30" s="302"/>
      <c r="O30" s="303">
        <f>ABS(M5*N30)</f>
        <v>0</v>
      </c>
      <c r="P30" s="302"/>
      <c r="Q30" s="302"/>
      <c r="R30" s="303">
        <f>P5*Q30</f>
        <v>0</v>
      </c>
      <c r="S30" s="302"/>
      <c r="T30" s="302"/>
      <c r="U30" s="303">
        <f>S5*T30</f>
        <v>0</v>
      </c>
      <c r="V30" s="302"/>
      <c r="W30" s="302"/>
      <c r="X30" s="303">
        <f>V5*W30</f>
        <v>0</v>
      </c>
      <c r="Y30" s="299">
        <f t="shared" si="2"/>
        <v>2</v>
      </c>
    </row>
    <row r="31" spans="1:25" ht="12.75">
      <c r="A31" s="112" t="s">
        <v>308</v>
      </c>
      <c r="B31" s="292"/>
      <c r="C31" s="293"/>
      <c r="D31" s="302">
        <f aca="true" t="shared" si="3" ref="D31:X31">SUM(D22:D30)</f>
        <v>0.2</v>
      </c>
      <c r="E31" s="302">
        <f t="shared" si="3"/>
        <v>0.2</v>
      </c>
      <c r="F31" s="303">
        <f t="shared" si="3"/>
        <v>2</v>
      </c>
      <c r="G31" s="302">
        <f t="shared" si="3"/>
        <v>0</v>
      </c>
      <c r="H31" s="302">
        <f t="shared" si="3"/>
        <v>0</v>
      </c>
      <c r="I31" s="303">
        <f t="shared" si="3"/>
        <v>0</v>
      </c>
      <c r="J31" s="302">
        <f t="shared" si="3"/>
        <v>0</v>
      </c>
      <c r="K31" s="302">
        <f t="shared" si="3"/>
        <v>0</v>
      </c>
      <c r="L31" s="303">
        <f t="shared" si="3"/>
        <v>0</v>
      </c>
      <c r="M31" s="302">
        <f t="shared" si="3"/>
        <v>0</v>
      </c>
      <c r="N31" s="302">
        <f t="shared" si="3"/>
        <v>0</v>
      </c>
      <c r="O31" s="303">
        <f t="shared" si="3"/>
        <v>0</v>
      </c>
      <c r="P31" s="302">
        <f t="shared" si="3"/>
        <v>118</v>
      </c>
      <c r="Q31" s="302">
        <f t="shared" si="3"/>
        <v>118</v>
      </c>
      <c r="R31" s="303">
        <f t="shared" si="3"/>
        <v>424.80000000000007</v>
      </c>
      <c r="S31" s="302">
        <f t="shared" si="3"/>
        <v>380</v>
      </c>
      <c r="T31" s="302">
        <f t="shared" si="3"/>
        <v>380</v>
      </c>
      <c r="U31" s="303">
        <f t="shared" si="3"/>
        <v>684</v>
      </c>
      <c r="V31" s="302">
        <f t="shared" si="3"/>
        <v>9.85</v>
      </c>
      <c r="W31" s="302">
        <f t="shared" si="3"/>
        <v>14.7</v>
      </c>
      <c r="X31" s="303">
        <f t="shared" si="3"/>
        <v>73.5</v>
      </c>
      <c r="Y31" s="306">
        <f t="shared" si="2"/>
        <v>1184.3000000000002</v>
      </c>
    </row>
    <row r="32" spans="1:25" ht="12.75">
      <c r="A32" s="39"/>
      <c r="B32" s="292"/>
      <c r="C32" s="293"/>
      <c r="D32" s="39"/>
      <c r="E32" s="39"/>
      <c r="F32" s="292"/>
      <c r="G32" s="39"/>
      <c r="H32" s="39"/>
      <c r="I32" s="292"/>
      <c r="J32" s="39"/>
      <c r="K32" s="39"/>
      <c r="L32" s="292"/>
      <c r="M32" s="39"/>
      <c r="N32" s="39"/>
      <c r="O32" s="292"/>
      <c r="P32" s="39"/>
      <c r="Q32" s="39"/>
      <c r="R32" s="292"/>
      <c r="S32" s="39"/>
      <c r="T32" s="39"/>
      <c r="U32" s="292"/>
      <c r="V32" s="39"/>
      <c r="W32" s="39"/>
      <c r="X32" s="292"/>
      <c r="Y32" s="39"/>
    </row>
    <row r="33" spans="1:25" s="1" customFormat="1" ht="12.75">
      <c r="A33" s="112" t="s">
        <v>309</v>
      </c>
      <c r="B33" s="308"/>
      <c r="C33" s="309"/>
      <c r="D33" s="310">
        <f aca="true" t="shared" si="4" ref="D33:X33">D19+D31</f>
        <v>3.8</v>
      </c>
      <c r="E33" s="310">
        <f t="shared" si="4"/>
        <v>30.4</v>
      </c>
      <c r="F33" s="311">
        <f t="shared" si="4"/>
        <v>304</v>
      </c>
      <c r="G33" s="310">
        <f t="shared" si="4"/>
        <v>0.7</v>
      </c>
      <c r="H33" s="310">
        <f t="shared" si="4"/>
        <v>16.5</v>
      </c>
      <c r="I33" s="311">
        <f t="shared" si="4"/>
        <v>165</v>
      </c>
      <c r="J33" s="310">
        <f t="shared" si="4"/>
        <v>32.95</v>
      </c>
      <c r="K33" s="310">
        <f t="shared" si="4"/>
        <v>82.9</v>
      </c>
      <c r="L33" s="311">
        <f t="shared" si="4"/>
        <v>455.95</v>
      </c>
      <c r="M33" s="310">
        <f t="shared" si="4"/>
        <v>42.95</v>
      </c>
      <c r="N33" s="315">
        <f t="shared" si="4"/>
        <v>102.9</v>
      </c>
      <c r="O33" s="311">
        <f t="shared" si="4"/>
        <v>565.95</v>
      </c>
      <c r="P33" s="310">
        <f t="shared" si="4"/>
        <v>118</v>
      </c>
      <c r="Q33" s="310">
        <f t="shared" si="4"/>
        <v>118</v>
      </c>
      <c r="R33" s="311">
        <f t="shared" si="4"/>
        <v>424.80000000000007</v>
      </c>
      <c r="S33" s="310">
        <f t="shared" si="4"/>
        <v>380</v>
      </c>
      <c r="T33" s="310">
        <f t="shared" si="4"/>
        <v>380</v>
      </c>
      <c r="U33" s="311">
        <f t="shared" si="4"/>
        <v>684</v>
      </c>
      <c r="V33" s="310">
        <f t="shared" si="4"/>
        <v>9.85</v>
      </c>
      <c r="W33" s="310">
        <f t="shared" si="4"/>
        <v>14.7</v>
      </c>
      <c r="X33" s="311">
        <f t="shared" si="4"/>
        <v>73.5</v>
      </c>
      <c r="Y33" s="306">
        <f>F33+I33+L33+O33+R33+U33+X33</f>
        <v>2673.2000000000003</v>
      </c>
    </row>
    <row r="34" spans="1:25" ht="12.75">
      <c r="A34" s="39"/>
      <c r="B34" s="292"/>
      <c r="C34" s="312"/>
      <c r="D34" s="30" t="s">
        <v>146</v>
      </c>
      <c r="E34" s="30" t="s">
        <v>146</v>
      </c>
      <c r="F34" s="313" t="s">
        <v>147</v>
      </c>
      <c r="G34" s="30" t="s">
        <v>146</v>
      </c>
      <c r="H34" s="30" t="s">
        <v>146</v>
      </c>
      <c r="I34" s="313" t="s">
        <v>147</v>
      </c>
      <c r="J34" s="30" t="s">
        <v>146</v>
      </c>
      <c r="K34" s="30" t="s">
        <v>146</v>
      </c>
      <c r="L34" s="313" t="s">
        <v>147</v>
      </c>
      <c r="M34" s="30" t="s">
        <v>146</v>
      </c>
      <c r="N34" s="30" t="s">
        <v>146</v>
      </c>
      <c r="O34" s="313" t="s">
        <v>147</v>
      </c>
      <c r="P34" s="30" t="s">
        <v>146</v>
      </c>
      <c r="Q34" s="30" t="s">
        <v>146</v>
      </c>
      <c r="R34" s="313" t="s">
        <v>147</v>
      </c>
      <c r="S34" s="30" t="s">
        <v>146</v>
      </c>
      <c r="T34" s="30" t="s">
        <v>146</v>
      </c>
      <c r="U34" s="313" t="s">
        <v>147</v>
      </c>
      <c r="V34" s="30" t="s">
        <v>146</v>
      </c>
      <c r="W34" s="30" t="s">
        <v>146</v>
      </c>
      <c r="X34" s="313" t="s">
        <v>147</v>
      </c>
      <c r="Y34" s="66" t="s">
        <v>147</v>
      </c>
    </row>
  </sheetData>
  <mergeCells count="10">
    <mergeCell ref="D4:O4"/>
    <mergeCell ref="V5:X5"/>
    <mergeCell ref="P4:X4"/>
    <mergeCell ref="D3:X3"/>
    <mergeCell ref="P5:R5"/>
    <mergeCell ref="S5:U5"/>
    <mergeCell ref="D5:F5"/>
    <mergeCell ref="G5:I5"/>
    <mergeCell ref="J5:L5"/>
    <mergeCell ref="M5:O5"/>
  </mergeCells>
  <printOptions/>
  <pageMargins left="0.75" right="0.75" top="1" bottom="1" header="0.5" footer="0.5"/>
  <pageSetup horizontalDpi="600" verticalDpi="600" orientation="landscape" paperSize="17"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AE84"/>
  <sheetViews>
    <sheetView zoomScaleSheetLayoutView="100" workbookViewId="0" topLeftCell="A1">
      <pane xSplit="1" ySplit="5" topLeftCell="G13" activePane="bottomRight" state="frozen"/>
      <selection pane="topLeft" activeCell="A1" sqref="A1"/>
      <selection pane="topRight" activeCell="B1" sqref="B1"/>
      <selection pane="bottomLeft" activeCell="A6" sqref="A6"/>
      <selection pane="bottomRight" activeCell="Z28" sqref="Z28"/>
    </sheetView>
  </sheetViews>
  <sheetFormatPr defaultColWidth="9.140625" defaultRowHeight="12.75" outlineLevelRow="1"/>
  <cols>
    <col min="1" max="1" width="23.28125" style="0" customWidth="1"/>
    <col min="2" max="2" width="9.7109375" style="0" customWidth="1"/>
    <col min="3" max="3" width="10.00390625" style="37" customWidth="1"/>
    <col min="4" max="4" width="9.710937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154" t="s">
        <v>131</v>
      </c>
      <c r="Q5" s="376" t="s">
        <v>47</v>
      </c>
      <c r="R5" s="153" t="s">
        <v>53</v>
      </c>
      <c r="S5" s="153" t="s">
        <v>54</v>
      </c>
      <c r="T5" s="153" t="s">
        <v>320</v>
      </c>
      <c r="U5" s="153" t="s">
        <v>321</v>
      </c>
      <c r="V5" s="153" t="s">
        <v>315</v>
      </c>
      <c r="W5" s="153" t="s">
        <v>316</v>
      </c>
      <c r="X5" s="153" t="s">
        <v>317</v>
      </c>
      <c r="Y5" s="153" t="s">
        <v>318</v>
      </c>
      <c r="Z5" s="153" t="s">
        <v>60</v>
      </c>
      <c r="AA5" s="154" t="s">
        <v>319</v>
      </c>
      <c r="AB5" s="359"/>
      <c r="AC5" s="360"/>
    </row>
    <row r="6" spans="1:29" s="53" customFormat="1" ht="15.75">
      <c r="A6" s="72" t="s">
        <v>66</v>
      </c>
      <c r="B6" s="73"/>
      <c r="C6" s="73"/>
      <c r="D6" s="74" t="str">
        <f aca="true" t="shared" si="0" ref="D6:D19">IF($C6="Concept",0.25,IF($C6="Design",0.15,IF($C6="Prior",0.075,IF($C6="Fab",0.04,IF($C6="Flight",0.02," ")))))</f>
        <v> </v>
      </c>
      <c r="E6" s="119">
        <f>SUM(E7:E12)</f>
        <v>0.72</v>
      </c>
      <c r="F6" s="120">
        <f aca="true" t="shared" si="1" ref="F6:F19">(G6-E6)/E6</f>
        <v>0.25000000000000006</v>
      </c>
      <c r="G6" s="121">
        <f>SUM(G7:G12)</f>
        <v>0.9</v>
      </c>
      <c r="H6" s="61"/>
      <c r="I6" s="172"/>
      <c r="J6" s="426" t="s">
        <v>128</v>
      </c>
      <c r="K6" s="424"/>
      <c r="L6" s="424"/>
      <c r="M6" s="424"/>
      <c r="N6" s="424"/>
      <c r="O6" s="424"/>
      <c r="P6" s="425"/>
      <c r="Q6" s="424" t="s">
        <v>5</v>
      </c>
      <c r="R6" s="424"/>
      <c r="S6" s="424"/>
      <c r="T6" s="424"/>
      <c r="U6" s="424"/>
      <c r="V6" s="424"/>
      <c r="W6" s="424"/>
      <c r="X6" s="424"/>
      <c r="Y6" s="424"/>
      <c r="Z6" s="424"/>
      <c r="AA6" s="425"/>
      <c r="AB6" s="361"/>
      <c r="AC6" s="362"/>
    </row>
    <row r="7" spans="1:29" ht="12.75" outlineLevel="1">
      <c r="A7" s="64" t="s">
        <v>67</v>
      </c>
      <c r="B7" s="65" t="s">
        <v>13</v>
      </c>
      <c r="C7" s="30" t="s">
        <v>64</v>
      </c>
      <c r="D7" s="342">
        <f t="shared" si="0"/>
        <v>0.15</v>
      </c>
      <c r="E7" s="67">
        <f aca="true" t="shared" si="2" ref="E7:E12">I7</f>
        <v>0.12</v>
      </c>
      <c r="F7" s="68">
        <f t="shared" si="1"/>
        <v>0.25</v>
      </c>
      <c r="G7" s="118">
        <f aca="true" t="shared" si="3" ref="G7:G12">0.15</f>
        <v>0.15</v>
      </c>
      <c r="H7" s="70"/>
      <c r="I7" s="173">
        <f aca="true" t="shared" si="4" ref="I7:I12">J7*J$24+K7*K$24+L7*L$24+M7*M$24+N7*N$24+O7*O$24+P7*P$24+Q7*Q$24+R7*R$24+S7*S$24+T7*T$24+U7*U$24+V7*V$24+W7*W$24+X7*X$24+Y7*Y$24+Z7*Z$24+AA7*AA$24</f>
        <v>0.12</v>
      </c>
      <c r="J7" s="64"/>
      <c r="K7" s="56"/>
      <c r="L7" s="56"/>
      <c r="M7" s="56"/>
      <c r="N7" s="56"/>
      <c r="O7" s="56"/>
      <c r="P7" s="180"/>
      <c r="Q7" s="39"/>
      <c r="R7" s="86"/>
      <c r="S7" s="56"/>
      <c r="T7" s="56"/>
      <c r="U7" s="56"/>
      <c r="V7" s="57">
        <v>0.004</v>
      </c>
      <c r="W7" s="57"/>
      <c r="X7" s="57"/>
      <c r="Y7" s="57"/>
      <c r="Z7" s="57"/>
      <c r="AA7" s="155"/>
      <c r="AB7" s="363"/>
      <c r="AC7" s="364"/>
    </row>
    <row r="8" spans="1:29" ht="12.75" outlineLevel="1">
      <c r="A8" s="64" t="s">
        <v>68</v>
      </c>
      <c r="B8" s="65" t="s">
        <v>13</v>
      </c>
      <c r="C8" s="30" t="s">
        <v>64</v>
      </c>
      <c r="D8" s="342">
        <f t="shared" si="0"/>
        <v>0.15</v>
      </c>
      <c r="E8" s="67">
        <f t="shared" si="2"/>
        <v>0.12</v>
      </c>
      <c r="F8" s="68">
        <f t="shared" si="1"/>
        <v>0.25</v>
      </c>
      <c r="G8" s="118">
        <f t="shared" si="3"/>
        <v>0.15</v>
      </c>
      <c r="H8" s="70"/>
      <c r="I8" s="173">
        <f t="shared" si="4"/>
        <v>0.12</v>
      </c>
      <c r="J8" s="64"/>
      <c r="K8" s="56"/>
      <c r="L8" s="56"/>
      <c r="M8" s="56"/>
      <c r="N8" s="56"/>
      <c r="O8" s="56"/>
      <c r="P8" s="180"/>
      <c r="Q8" s="39"/>
      <c r="R8" s="56"/>
      <c r="S8" s="56"/>
      <c r="T8" s="56"/>
      <c r="U8" s="56"/>
      <c r="V8" s="57"/>
      <c r="W8" s="57">
        <v>0.004</v>
      </c>
      <c r="X8" s="57"/>
      <c r="Y8" s="57"/>
      <c r="Z8" s="57"/>
      <c r="AA8" s="155"/>
      <c r="AB8" s="363"/>
      <c r="AC8" s="364"/>
    </row>
    <row r="9" spans="1:29" ht="12.75" outlineLevel="1">
      <c r="A9" s="64" t="s">
        <v>69</v>
      </c>
      <c r="B9" s="65" t="s">
        <v>13</v>
      </c>
      <c r="C9" s="30" t="s">
        <v>64</v>
      </c>
      <c r="D9" s="342">
        <f t="shared" si="0"/>
        <v>0.15</v>
      </c>
      <c r="E9" s="67">
        <f t="shared" si="2"/>
        <v>0.12</v>
      </c>
      <c r="F9" s="68">
        <f t="shared" si="1"/>
        <v>0.25</v>
      </c>
      <c r="G9" s="118">
        <f t="shared" si="3"/>
        <v>0.15</v>
      </c>
      <c r="H9" s="70"/>
      <c r="I9" s="173">
        <f t="shared" si="4"/>
        <v>0.12</v>
      </c>
      <c r="J9" s="64"/>
      <c r="K9" s="56"/>
      <c r="L9" s="56"/>
      <c r="M9" s="56"/>
      <c r="N9" s="56"/>
      <c r="O9" s="56"/>
      <c r="P9" s="180"/>
      <c r="Q9" s="39"/>
      <c r="R9" s="56"/>
      <c r="S9" s="56"/>
      <c r="T9" s="56"/>
      <c r="U9" s="56"/>
      <c r="V9" s="57"/>
      <c r="W9" s="57"/>
      <c r="X9" s="57">
        <v>0.004</v>
      </c>
      <c r="Y9" s="57"/>
      <c r="Z9" s="57"/>
      <c r="AA9" s="155"/>
      <c r="AB9" s="363"/>
      <c r="AC9" s="364"/>
    </row>
    <row r="10" spans="1:29" ht="12.75" outlineLevel="1">
      <c r="A10" s="64" t="s">
        <v>70</v>
      </c>
      <c r="B10" s="65" t="s">
        <v>13</v>
      </c>
      <c r="C10" s="30" t="s">
        <v>64</v>
      </c>
      <c r="D10" s="342">
        <f t="shared" si="0"/>
        <v>0.15</v>
      </c>
      <c r="E10" s="67">
        <f t="shared" si="2"/>
        <v>0.12</v>
      </c>
      <c r="F10" s="68">
        <f t="shared" si="1"/>
        <v>0.25</v>
      </c>
      <c r="G10" s="118">
        <f t="shared" si="3"/>
        <v>0.15</v>
      </c>
      <c r="H10" s="70"/>
      <c r="I10" s="173">
        <f t="shared" si="4"/>
        <v>0.12</v>
      </c>
      <c r="J10" s="64"/>
      <c r="K10" s="56"/>
      <c r="L10" s="56"/>
      <c r="M10" s="56"/>
      <c r="N10" s="56"/>
      <c r="O10" s="56"/>
      <c r="P10" s="180"/>
      <c r="Q10" s="39"/>
      <c r="R10" s="56"/>
      <c r="S10" s="56"/>
      <c r="T10" s="56"/>
      <c r="U10" s="56"/>
      <c r="V10" s="57"/>
      <c r="W10" s="57"/>
      <c r="X10" s="57"/>
      <c r="Y10" s="57">
        <v>0.004</v>
      </c>
      <c r="Z10" s="57"/>
      <c r="AA10" s="155"/>
      <c r="AB10" s="363"/>
      <c r="AC10" s="364"/>
    </row>
    <row r="11" spans="1:29" ht="12.75" outlineLevel="1">
      <c r="A11" s="64" t="s">
        <v>71</v>
      </c>
      <c r="B11" s="65" t="s">
        <v>13</v>
      </c>
      <c r="C11" s="30" t="s">
        <v>64</v>
      </c>
      <c r="D11" s="342">
        <f t="shared" si="0"/>
        <v>0.15</v>
      </c>
      <c r="E11" s="67">
        <f t="shared" si="2"/>
        <v>0.12</v>
      </c>
      <c r="F11" s="68">
        <f t="shared" si="1"/>
        <v>0.25</v>
      </c>
      <c r="G11" s="118">
        <f t="shared" si="3"/>
        <v>0.15</v>
      </c>
      <c r="H11" s="70"/>
      <c r="I11" s="173">
        <f t="shared" si="4"/>
        <v>0.12</v>
      </c>
      <c r="J11" s="64"/>
      <c r="K11" s="56"/>
      <c r="L11" s="56"/>
      <c r="M11" s="56"/>
      <c r="N11" s="56"/>
      <c r="O11" s="56"/>
      <c r="P11" s="180"/>
      <c r="Q11" s="39"/>
      <c r="R11" s="56"/>
      <c r="S11" s="56"/>
      <c r="T11" s="56"/>
      <c r="U11" s="56"/>
      <c r="V11" s="57"/>
      <c r="W11" s="57"/>
      <c r="X11" s="57"/>
      <c r="Y11" s="57"/>
      <c r="Z11" s="57">
        <v>0.004</v>
      </c>
      <c r="AA11" s="155"/>
      <c r="AB11" s="363"/>
      <c r="AC11" s="364"/>
    </row>
    <row r="12" spans="1:29" ht="12.75" outlineLevel="1">
      <c r="A12" s="64" t="s">
        <v>72</v>
      </c>
      <c r="B12" s="65" t="s">
        <v>13</v>
      </c>
      <c r="C12" s="30" t="s">
        <v>64</v>
      </c>
      <c r="D12" s="342">
        <f t="shared" si="0"/>
        <v>0.15</v>
      </c>
      <c r="E12" s="67">
        <f t="shared" si="2"/>
        <v>0.12</v>
      </c>
      <c r="F12" s="68">
        <f t="shared" si="1"/>
        <v>0.25</v>
      </c>
      <c r="G12" s="118">
        <f t="shared" si="3"/>
        <v>0.15</v>
      </c>
      <c r="H12" s="70"/>
      <c r="I12" s="173">
        <f t="shared" si="4"/>
        <v>0.12</v>
      </c>
      <c r="J12" s="64"/>
      <c r="K12" s="56"/>
      <c r="L12" s="56"/>
      <c r="M12" s="56"/>
      <c r="N12" s="56"/>
      <c r="O12" s="56"/>
      <c r="P12" s="180"/>
      <c r="Q12" s="39"/>
      <c r="R12" s="56"/>
      <c r="S12" s="56"/>
      <c r="T12" s="56"/>
      <c r="U12" s="56"/>
      <c r="V12" s="57"/>
      <c r="W12" s="57"/>
      <c r="X12" s="57"/>
      <c r="Y12" s="57"/>
      <c r="Z12" s="57"/>
      <c r="AA12" s="57">
        <v>0.004</v>
      </c>
      <c r="AB12" s="363"/>
      <c r="AC12" s="364"/>
    </row>
    <row r="13" spans="1:29" s="53" customFormat="1" ht="15.75" outlineLevel="1">
      <c r="A13" s="72" t="s">
        <v>73</v>
      </c>
      <c r="B13" s="73"/>
      <c r="C13" s="73"/>
      <c r="D13" s="343" t="str">
        <f t="shared" si="0"/>
        <v> </v>
      </c>
      <c r="E13" s="119">
        <f>E14+E15+E16+E18+I19</f>
        <v>9.23345890505263</v>
      </c>
      <c r="F13" s="120">
        <f t="shared" si="1"/>
        <v>0.11100158732352387</v>
      </c>
      <c r="G13" s="121">
        <f>SUM(G14:G19)</f>
        <v>10.2583875</v>
      </c>
      <c r="H13" s="61"/>
      <c r="I13" s="174"/>
      <c r="J13" s="156"/>
      <c r="K13" s="51"/>
      <c r="L13" s="51"/>
      <c r="M13" s="51"/>
      <c r="N13" s="51"/>
      <c r="O13" s="51"/>
      <c r="P13" s="157"/>
      <c r="Q13" s="377"/>
      <c r="R13" s="51"/>
      <c r="S13" s="51"/>
      <c r="T13" s="51"/>
      <c r="U13" s="51"/>
      <c r="V13" s="51"/>
      <c r="W13" s="51"/>
      <c r="X13" s="51"/>
      <c r="Y13" s="51"/>
      <c r="Z13" s="51"/>
      <c r="AA13" s="157"/>
      <c r="AB13" s="361"/>
      <c r="AC13" s="362"/>
    </row>
    <row r="14" spans="1:31" ht="12.75" outlineLevel="1">
      <c r="A14" s="64" t="s">
        <v>361</v>
      </c>
      <c r="B14" s="76" t="s">
        <v>13</v>
      </c>
      <c r="C14" s="30" t="s">
        <v>64</v>
      </c>
      <c r="D14" s="344">
        <f t="shared" si="0"/>
        <v>0.15</v>
      </c>
      <c r="E14" s="70">
        <f>I14</f>
        <v>1.504536</v>
      </c>
      <c r="F14" s="68">
        <f t="shared" si="1"/>
        <v>0.21525008374674964</v>
      </c>
      <c r="G14" s="118">
        <v>1.8283874999999998</v>
      </c>
      <c r="H14" s="70"/>
      <c r="I14" s="173">
        <f aca="true" t="shared" si="5" ref="I14:I22">J14*J$24+K14*K$24+L14*L$24+M14*M$24+N14*N$24+O14*O$24+P14*P$24+Q14*Q$24+R14*R$24+S14*S$24+T14*T$24+U14*U$24+V14*V$24+W14*W$24+X14*X$24+Y14*Y$24+Z14*Z$24+AA14*AA$24</f>
        <v>1.504536</v>
      </c>
      <c r="J14" s="159">
        <v>0.006</v>
      </c>
      <c r="K14" s="57">
        <f>DFB_Typ_2008_07_07!T33/1000</f>
        <v>0.19</v>
      </c>
      <c r="L14" s="57">
        <f>0.08276</f>
        <v>0.08276</v>
      </c>
      <c r="M14" s="57">
        <f>0.049</f>
        <v>0.049</v>
      </c>
      <c r="N14" s="144">
        <f>0.065</f>
        <v>0.065</v>
      </c>
      <c r="O14" s="207">
        <f>0.01375</f>
        <v>0.01375</v>
      </c>
      <c r="P14" s="155">
        <f>0.01271</f>
        <v>0.01271</v>
      </c>
      <c r="Q14" s="115"/>
      <c r="R14" s="143"/>
      <c r="S14" s="143"/>
      <c r="T14" s="57"/>
      <c r="U14" s="57"/>
      <c r="V14" s="57"/>
      <c r="W14" s="57"/>
      <c r="X14" s="57"/>
      <c r="Y14" s="57"/>
      <c r="Z14" s="57"/>
      <c r="AA14" s="155"/>
      <c r="AB14" s="365"/>
      <c r="AC14" s="366"/>
      <c r="AE14" t="s">
        <v>355</v>
      </c>
    </row>
    <row r="15" spans="1:31" ht="12.75" outlineLevel="1">
      <c r="A15" s="64" t="s">
        <v>75</v>
      </c>
      <c r="B15" s="65" t="s">
        <v>13</v>
      </c>
      <c r="C15" s="30" t="s">
        <v>64</v>
      </c>
      <c r="D15" s="342">
        <f t="shared" si="0"/>
        <v>0.15</v>
      </c>
      <c r="E15" s="67">
        <f>I15</f>
        <v>1.9029999999999996</v>
      </c>
      <c r="F15" s="68">
        <f t="shared" si="1"/>
        <v>-0.027850761954807936</v>
      </c>
      <c r="G15" s="118">
        <v>1.85</v>
      </c>
      <c r="H15" s="70"/>
      <c r="I15" s="173">
        <f t="shared" si="5"/>
        <v>1.9029999999999996</v>
      </c>
      <c r="J15" s="159"/>
      <c r="K15" s="57"/>
      <c r="L15" s="57"/>
      <c r="M15" s="57"/>
      <c r="N15" s="57"/>
      <c r="O15" s="182"/>
      <c r="P15" s="183"/>
      <c r="Q15" s="378">
        <v>0.003</v>
      </c>
      <c r="R15" s="57">
        <v>0.063</v>
      </c>
      <c r="S15" s="57">
        <v>0.052</v>
      </c>
      <c r="T15" s="326">
        <v>0.0013</v>
      </c>
      <c r="U15" s="326">
        <v>0.0003</v>
      </c>
      <c r="V15" s="57">
        <v>0.0021</v>
      </c>
      <c r="W15" s="57">
        <v>0.0021</v>
      </c>
      <c r="X15" s="57">
        <v>0.0021</v>
      </c>
      <c r="Y15" s="57">
        <v>0.0021</v>
      </c>
      <c r="Z15" s="57">
        <v>0.0021</v>
      </c>
      <c r="AA15" s="57">
        <v>0.0021</v>
      </c>
      <c r="AB15" s="365"/>
      <c r="AC15" s="366"/>
      <c r="AE15" t="s">
        <v>356</v>
      </c>
    </row>
    <row r="16" spans="1:29" ht="12.75" outlineLevel="1">
      <c r="A16" s="64" t="s">
        <v>76</v>
      </c>
      <c r="B16" s="65" t="s">
        <v>13</v>
      </c>
      <c r="C16" s="30" t="s">
        <v>65</v>
      </c>
      <c r="D16" s="342">
        <f t="shared" si="0"/>
        <v>0.25</v>
      </c>
      <c r="E16" s="67">
        <f>I16</f>
        <v>0.4875</v>
      </c>
      <c r="F16" s="68">
        <f t="shared" si="1"/>
        <v>0.25000000000000006</v>
      </c>
      <c r="G16" s="118">
        <v>0.609375</v>
      </c>
      <c r="H16" s="70"/>
      <c r="I16" s="173">
        <f t="shared" si="5"/>
        <v>0.4875</v>
      </c>
      <c r="J16" s="159"/>
      <c r="K16" s="57"/>
      <c r="L16" s="57"/>
      <c r="M16" s="57">
        <v>0.0025</v>
      </c>
      <c r="N16" s="57">
        <v>0.005</v>
      </c>
      <c r="O16" s="182">
        <v>0.025</v>
      </c>
      <c r="P16" s="183">
        <v>0.02</v>
      </c>
      <c r="Q16" s="378"/>
      <c r="R16" s="143"/>
      <c r="S16" s="143"/>
      <c r="T16" s="57"/>
      <c r="U16" s="57"/>
      <c r="V16" s="57"/>
      <c r="W16" s="57"/>
      <c r="X16" s="57"/>
      <c r="Y16" s="57"/>
      <c r="Z16" s="57"/>
      <c r="AA16" s="155"/>
      <c r="AB16" s="365"/>
      <c r="AC16" s="366"/>
    </row>
    <row r="17" spans="1:29" ht="12.75" outlineLevel="1">
      <c r="A17" s="64" t="s">
        <v>85</v>
      </c>
      <c r="B17" s="65"/>
      <c r="C17" s="30" t="s">
        <v>65</v>
      </c>
      <c r="D17" s="342">
        <f t="shared" si="0"/>
        <v>0.25</v>
      </c>
      <c r="E17" s="67">
        <f>I17</f>
        <v>0.07200000000000001</v>
      </c>
      <c r="F17" s="68">
        <f t="shared" si="1"/>
        <v>-1</v>
      </c>
      <c r="G17" s="118"/>
      <c r="H17" s="70"/>
      <c r="I17" s="173">
        <f t="shared" si="5"/>
        <v>0.07200000000000001</v>
      </c>
      <c r="J17" s="159"/>
      <c r="K17" s="57"/>
      <c r="L17" s="323">
        <f>L54*L33</f>
        <v>0.02</v>
      </c>
      <c r="M17" s="57"/>
      <c r="N17" s="57"/>
      <c r="O17" s="57"/>
      <c r="P17" s="155"/>
      <c r="Q17" s="115"/>
      <c r="R17" s="57"/>
      <c r="S17" s="57"/>
      <c r="T17" s="57"/>
      <c r="U17" s="57"/>
      <c r="V17" s="57"/>
      <c r="W17" s="57"/>
      <c r="X17" s="57"/>
      <c r="Y17" s="57"/>
      <c r="Z17" s="57"/>
      <c r="AA17" s="155"/>
      <c r="AB17" s="365"/>
      <c r="AC17" s="366"/>
    </row>
    <row r="18" spans="1:31" ht="12.75" outlineLevel="1">
      <c r="A18" s="64" t="s">
        <v>77</v>
      </c>
      <c r="B18" s="65" t="s">
        <v>13</v>
      </c>
      <c r="C18" s="30" t="s">
        <v>64</v>
      </c>
      <c r="D18" s="342">
        <f t="shared" si="0"/>
        <v>0.15</v>
      </c>
      <c r="E18" s="67">
        <f>I18</f>
        <v>1.2375791999999999</v>
      </c>
      <c r="F18" s="68">
        <f t="shared" si="1"/>
        <v>0.6887808069172462</v>
      </c>
      <c r="G18" s="118">
        <v>2.09</v>
      </c>
      <c r="H18" s="70"/>
      <c r="I18" s="173">
        <f t="shared" si="5"/>
        <v>1.2375791999999999</v>
      </c>
      <c r="J18" s="381">
        <f>0.004*1.1</f>
        <v>0.0044</v>
      </c>
      <c r="K18" s="375">
        <f>DCB_2008_08_18!$H$24*(1+L34)/1000</f>
        <v>0.250044</v>
      </c>
      <c r="L18" s="375">
        <f>0.135+L17</f>
        <v>0.155</v>
      </c>
      <c r="M18" s="375">
        <f>0.015*1.1</f>
        <v>0.0165</v>
      </c>
      <c r="N18" s="375">
        <f>0.01*1.1</f>
        <v>0.011000000000000001</v>
      </c>
      <c r="O18" s="375">
        <v>0.0035</v>
      </c>
      <c r="P18" s="382">
        <v>0.0035</v>
      </c>
      <c r="Q18" s="115"/>
      <c r="R18" s="57"/>
      <c r="S18" s="57"/>
      <c r="T18" s="57"/>
      <c r="U18" s="57"/>
      <c r="V18" s="57"/>
      <c r="W18" s="57"/>
      <c r="X18" s="57"/>
      <c r="Y18" s="57"/>
      <c r="Z18" s="57"/>
      <c r="AA18" s="155"/>
      <c r="AB18" s="365"/>
      <c r="AC18" s="366"/>
      <c r="AE18" t="s">
        <v>355</v>
      </c>
    </row>
    <row r="19" spans="1:29" ht="12.75" outlineLevel="1">
      <c r="A19" s="80" t="s">
        <v>78</v>
      </c>
      <c r="B19" s="81" t="s">
        <v>13</v>
      </c>
      <c r="C19" s="330" t="s">
        <v>64</v>
      </c>
      <c r="D19" s="345">
        <f t="shared" si="0"/>
        <v>0.15</v>
      </c>
      <c r="E19" s="383">
        <f>E23/(E23+I19)</f>
        <v>0.5558713427739833</v>
      </c>
      <c r="F19" s="135">
        <f t="shared" si="1"/>
        <v>5.98115679184753</v>
      </c>
      <c r="G19" s="136">
        <f>4.49-G16</f>
        <v>3.880625</v>
      </c>
      <c r="H19" s="373" t="s">
        <v>374</v>
      </c>
      <c r="I19" s="389">
        <f t="shared" si="5"/>
        <v>4.100843705052632</v>
      </c>
      <c r="J19" s="381">
        <f aca="true" t="shared" si="6" ref="J19:K22">SUM(J$6:J$18)*$L27</f>
        <v>0.005668</v>
      </c>
      <c r="K19" s="375">
        <f t="shared" si="6"/>
        <v>0.23982398000000002</v>
      </c>
      <c r="L19" s="375">
        <f>SUM(L$14+L$18)*$L27</f>
        <v>0.1295792</v>
      </c>
      <c r="M19" s="375">
        <f aca="true" t="shared" si="7" ref="M19:S20">SUM(M$6:M$18)*$L27</f>
        <v>0.03706</v>
      </c>
      <c r="N19" s="375">
        <f t="shared" si="7"/>
        <v>0.044145000000000004</v>
      </c>
      <c r="O19" s="375">
        <f t="shared" si="7"/>
        <v>0.02302625</v>
      </c>
      <c r="P19" s="382">
        <f t="shared" si="7"/>
        <v>0.019734450000000004</v>
      </c>
      <c r="Q19" s="374">
        <f t="shared" si="7"/>
        <v>0.0016350000000000002</v>
      </c>
      <c r="R19" s="207">
        <f t="shared" si="7"/>
        <v>0.034335000000000004</v>
      </c>
      <c r="S19" s="207">
        <f t="shared" si="7"/>
        <v>0.02834</v>
      </c>
      <c r="T19" s="327">
        <f>SUM(T$6:T$18)*$W$27+$Z$31/$T$24</f>
        <v>0.0031654970760233918</v>
      </c>
      <c r="U19" s="327">
        <f>SUM(U$6:U$18)*$W$27+$Z$31/$U$24</f>
        <v>0.001756140350877193</v>
      </c>
      <c r="V19" s="207">
        <f aca="true" t="shared" si="8" ref="V19:AA20">SUM(V$6:V$18)*$L27</f>
        <v>0.0033245</v>
      </c>
      <c r="W19" s="207">
        <f t="shared" si="8"/>
        <v>0.0033245</v>
      </c>
      <c r="X19" s="207">
        <f t="shared" si="8"/>
        <v>0.0033245</v>
      </c>
      <c r="Y19" s="207">
        <f t="shared" si="8"/>
        <v>0.0033245</v>
      </c>
      <c r="Z19" s="207">
        <f t="shared" si="8"/>
        <v>0.0033245</v>
      </c>
      <c r="AA19" s="207">
        <f t="shared" si="8"/>
        <v>0.0033245</v>
      </c>
      <c r="AB19" s="149"/>
      <c r="AC19" s="87"/>
    </row>
    <row r="20" spans="4:29" ht="12.75" outlineLevel="1">
      <c r="D20" s="16" t="s">
        <v>390</v>
      </c>
      <c r="E20" s="384">
        <f>$E$23/($E$23+I20)</f>
        <v>0.5608759829324246</v>
      </c>
      <c r="F20" s="68"/>
      <c r="G20" s="118"/>
      <c r="H20" s="373" t="s">
        <v>375</v>
      </c>
      <c r="I20" s="389">
        <f t="shared" si="5"/>
        <v>4.018454477052631</v>
      </c>
      <c r="J20" s="381">
        <f t="shared" si="6"/>
        <v>0.005512</v>
      </c>
      <c r="K20" s="375">
        <f t="shared" si="6"/>
        <v>0.23322332</v>
      </c>
      <c r="L20" s="375">
        <f>SUM(L$14+L$18)*$L28</f>
        <v>0.1260128</v>
      </c>
      <c r="M20" s="375">
        <f t="shared" si="7"/>
        <v>0.03604</v>
      </c>
      <c r="N20" s="375">
        <f t="shared" si="7"/>
        <v>0.04293</v>
      </c>
      <c r="O20" s="375">
        <f t="shared" si="7"/>
        <v>0.022392500000000003</v>
      </c>
      <c r="P20" s="382">
        <f t="shared" si="7"/>
        <v>0.019191300000000005</v>
      </c>
      <c r="Q20" s="374">
        <f t="shared" si="7"/>
        <v>0.00159</v>
      </c>
      <c r="R20" s="207">
        <f t="shared" si="7"/>
        <v>0.03339</v>
      </c>
      <c r="S20" s="207">
        <f t="shared" si="7"/>
        <v>0.02756</v>
      </c>
      <c r="T20" s="327">
        <f>SUM(T$6:T$18)*$W$27+$Z$31/$T$24</f>
        <v>0.0031654970760233918</v>
      </c>
      <c r="U20" s="327">
        <f>SUM(U$6:U$18)*$W$27+$Z$31/$U$24</f>
        <v>0.001756140350877193</v>
      </c>
      <c r="V20" s="207">
        <f t="shared" si="8"/>
        <v>0.0032329999999999998</v>
      </c>
      <c r="W20" s="207">
        <f t="shared" si="8"/>
        <v>0.0032329999999999998</v>
      </c>
      <c r="X20" s="207">
        <f t="shared" si="8"/>
        <v>0.0032329999999999998</v>
      </c>
      <c r="Y20" s="207">
        <f t="shared" si="8"/>
        <v>0.0032329999999999998</v>
      </c>
      <c r="Z20" s="207">
        <f t="shared" si="8"/>
        <v>0.0032329999999999998</v>
      </c>
      <c r="AA20" s="207">
        <f t="shared" si="8"/>
        <v>0.0032329999999999998</v>
      </c>
      <c r="AB20" s="372"/>
      <c r="AC20" s="372"/>
    </row>
    <row r="21" spans="1:29" ht="12.75" outlineLevel="1">
      <c r="A21" s="371"/>
      <c r="B21" s="65"/>
      <c r="C21" s="30"/>
      <c r="D21" s="342" t="s">
        <v>390</v>
      </c>
      <c r="E21" s="384">
        <f>$E$23/($E$23+I21)</f>
        <v>0.547725838214571</v>
      </c>
      <c r="F21" s="68"/>
      <c r="G21" s="118"/>
      <c r="H21" s="373" t="s">
        <v>376</v>
      </c>
      <c r="I21" s="389">
        <f t="shared" si="5"/>
        <v>4.238159085052631</v>
      </c>
      <c r="J21" s="381">
        <f t="shared" si="6"/>
        <v>0.005927999999999999</v>
      </c>
      <c r="K21" s="375">
        <f t="shared" si="6"/>
        <v>0.25082508</v>
      </c>
      <c r="L21" s="375">
        <f>SUM(L$14+L$18)*$L29</f>
        <v>0.13552319999999998</v>
      </c>
      <c r="M21" s="375">
        <f aca="true" t="shared" si="9" ref="M21:S21">SUM(M$6:M$18)*$L29</f>
        <v>0.03876</v>
      </c>
      <c r="N21" s="375">
        <f t="shared" si="9"/>
        <v>0.046169999999999996</v>
      </c>
      <c r="O21" s="375">
        <f t="shared" si="9"/>
        <v>0.0240825</v>
      </c>
      <c r="P21" s="382">
        <f t="shared" si="9"/>
        <v>0.0206397</v>
      </c>
      <c r="Q21" s="374">
        <f t="shared" si="9"/>
        <v>0.00171</v>
      </c>
      <c r="R21" s="207">
        <f t="shared" si="9"/>
        <v>0.03591</v>
      </c>
      <c r="S21" s="207">
        <f t="shared" si="9"/>
        <v>0.029639999999999996</v>
      </c>
      <c r="T21" s="327">
        <f>SUM(T$6:T$18)*$W$27+$Z$31/$T$24</f>
        <v>0.0031654970760233918</v>
      </c>
      <c r="U21" s="327">
        <f>SUM(U$6:U$18)*$W$27+$Z$31/$U$24</f>
        <v>0.001756140350877193</v>
      </c>
      <c r="V21" s="207">
        <f aca="true" t="shared" si="10" ref="V21:AA21">SUM(V$6:V$18)*$L29</f>
        <v>0.0034769999999999996</v>
      </c>
      <c r="W21" s="207">
        <f t="shared" si="10"/>
        <v>0.0034769999999999996</v>
      </c>
      <c r="X21" s="207">
        <f t="shared" si="10"/>
        <v>0.0034769999999999996</v>
      </c>
      <c r="Y21" s="207">
        <f t="shared" si="10"/>
        <v>0.0034769999999999996</v>
      </c>
      <c r="Z21" s="207">
        <f t="shared" si="10"/>
        <v>0.0034769999999999996</v>
      </c>
      <c r="AA21" s="207">
        <f t="shared" si="10"/>
        <v>0.0034769999999999996</v>
      </c>
      <c r="AB21" s="372"/>
      <c r="AC21" s="372"/>
    </row>
    <row r="22" spans="1:29" ht="12.75" outlineLevel="1">
      <c r="A22" s="371"/>
      <c r="B22" s="65"/>
      <c r="C22" s="30"/>
      <c r="D22" s="342" t="s">
        <v>390</v>
      </c>
      <c r="E22" s="384">
        <f>$E$23/($E$23+I22)</f>
        <v>0.535178196754917</v>
      </c>
      <c r="F22" s="68"/>
      <c r="G22" s="118"/>
      <c r="H22" s="373" t="s">
        <v>377</v>
      </c>
      <c r="I22" s="389">
        <f t="shared" si="5"/>
        <v>4.457863693052631</v>
      </c>
      <c r="J22" s="381">
        <f t="shared" si="6"/>
        <v>0.006344</v>
      </c>
      <c r="K22" s="375">
        <f t="shared" si="6"/>
        <v>0.26842684</v>
      </c>
      <c r="L22" s="375">
        <f>SUM(L$14+L$18)*$L30</f>
        <v>0.14503359999999998</v>
      </c>
      <c r="M22" s="375">
        <f aca="true" t="shared" si="11" ref="M22:S22">SUM(M$6:M$18)*$L30</f>
        <v>0.04148</v>
      </c>
      <c r="N22" s="375">
        <f t="shared" si="11"/>
        <v>0.04941</v>
      </c>
      <c r="O22" s="375">
        <f t="shared" si="11"/>
        <v>0.0257725</v>
      </c>
      <c r="P22" s="382">
        <f t="shared" si="11"/>
        <v>0.022088100000000003</v>
      </c>
      <c r="Q22" s="374">
        <f t="shared" si="11"/>
        <v>0.00183</v>
      </c>
      <c r="R22" s="207">
        <f t="shared" si="11"/>
        <v>0.03843</v>
      </c>
      <c r="S22" s="207">
        <f t="shared" si="11"/>
        <v>0.03172</v>
      </c>
      <c r="T22" s="327">
        <f>SUM(T$6:T$18)*$W$27+$Z$31/$T$24</f>
        <v>0.0031654970760233918</v>
      </c>
      <c r="U22" s="327">
        <f>SUM(U$6:U$18)*$W$27+$Z$31/$U$24</f>
        <v>0.001756140350877193</v>
      </c>
      <c r="V22" s="207">
        <f aca="true" t="shared" si="12" ref="V22:AA22">SUM(V$6:V$18)*$L30</f>
        <v>0.0037209999999999995</v>
      </c>
      <c r="W22" s="207">
        <f t="shared" si="12"/>
        <v>0.0037209999999999995</v>
      </c>
      <c r="X22" s="207">
        <f t="shared" si="12"/>
        <v>0.0037209999999999995</v>
      </c>
      <c r="Y22" s="207">
        <f t="shared" si="12"/>
        <v>0.0037209999999999995</v>
      </c>
      <c r="Z22" s="207">
        <f t="shared" si="12"/>
        <v>0.0037209999999999995</v>
      </c>
      <c r="AA22" s="207">
        <f t="shared" si="12"/>
        <v>0.0037209999999999995</v>
      </c>
      <c r="AB22" s="372"/>
      <c r="AC22" s="372"/>
    </row>
    <row r="23" spans="1:29" ht="12.75">
      <c r="A23" s="371" t="s">
        <v>382</v>
      </c>
      <c r="B23" s="65"/>
      <c r="C23" s="30"/>
      <c r="D23" s="342" t="s">
        <v>390</v>
      </c>
      <c r="E23" s="67">
        <f>E14+E15+E18+E16</f>
        <v>5.132615199999999</v>
      </c>
      <c r="F23" s="68"/>
      <c r="G23" s="69"/>
      <c r="H23" s="70"/>
      <c r="I23" s="175"/>
      <c r="J23" s="162"/>
      <c r="K23" s="89"/>
      <c r="L23" s="89"/>
      <c r="M23" s="89"/>
      <c r="N23" s="89"/>
      <c r="O23" s="89"/>
      <c r="P23" s="163"/>
      <c r="Q23" s="89"/>
      <c r="R23" s="257"/>
      <c r="S23" s="89"/>
      <c r="T23" s="89"/>
      <c r="U23" s="89"/>
      <c r="V23" s="89"/>
      <c r="W23" s="89"/>
      <c r="X23" s="89"/>
      <c r="Y23" s="89"/>
      <c r="Z23" s="89"/>
      <c r="AA23" s="163"/>
      <c r="AB23" s="90"/>
      <c r="AC23" s="90"/>
    </row>
    <row r="24" spans="1:29" s="53" customFormat="1" ht="16.5" thickBot="1">
      <c r="A24" s="91" t="s">
        <v>79</v>
      </c>
      <c r="B24" s="92"/>
      <c r="C24" s="92"/>
      <c r="D24" s="238"/>
      <c r="E24" s="239">
        <f>SUM(E13+E6)</f>
        <v>9.953458905052631</v>
      </c>
      <c r="F24" s="240">
        <f>(G24-E24)/E24</f>
        <v>0.12105626862393692</v>
      </c>
      <c r="G24" s="241">
        <f>SUM(G13+G6)</f>
        <v>11.1583875</v>
      </c>
      <c r="H24" s="94"/>
      <c r="I24" s="176">
        <f>SUM(I6:I12)+SUM(I14:I16)+SUM(I18:I19)</f>
        <v>9.953458905052631</v>
      </c>
      <c r="J24" s="164">
        <v>5</v>
      </c>
      <c r="K24" s="97">
        <v>1.8</v>
      </c>
      <c r="L24" s="97">
        <v>3.6</v>
      </c>
      <c r="M24" s="97">
        <v>5</v>
      </c>
      <c r="N24" s="97">
        <v>5</v>
      </c>
      <c r="O24" s="97">
        <v>10</v>
      </c>
      <c r="P24" s="165">
        <v>10</v>
      </c>
      <c r="Q24" s="379">
        <v>5</v>
      </c>
      <c r="R24" s="97">
        <v>10</v>
      </c>
      <c r="S24" s="97">
        <v>10</v>
      </c>
      <c r="T24" s="97">
        <v>225</v>
      </c>
      <c r="U24" s="97">
        <v>225</v>
      </c>
      <c r="V24" s="97">
        <v>30</v>
      </c>
      <c r="W24" s="97">
        <v>30</v>
      </c>
      <c r="X24" s="97">
        <v>30</v>
      </c>
      <c r="Y24" s="97">
        <v>30</v>
      </c>
      <c r="Z24" s="97">
        <v>30</v>
      </c>
      <c r="AA24" s="165">
        <v>30</v>
      </c>
      <c r="AB24" s="150" t="s">
        <v>80</v>
      </c>
      <c r="AC24" s="99"/>
    </row>
    <row r="25" spans="1:29" s="53" customFormat="1" ht="16.5" thickBot="1">
      <c r="A25" s="100"/>
      <c r="B25" s="63"/>
      <c r="C25" s="101"/>
      <c r="D25" s="242" t="s">
        <v>252</v>
      </c>
      <c r="E25" s="244">
        <f>I58</f>
        <v>16.306497206888803</v>
      </c>
      <c r="F25" s="331">
        <f>(G25-E25)/E25</f>
        <v>0.4210899929023622</v>
      </c>
      <c r="G25" s="245">
        <v>23.173</v>
      </c>
      <c r="H25" s="94"/>
      <c r="I25" s="177" t="s">
        <v>258</v>
      </c>
      <c r="J25" s="166">
        <f>SUM(J6:J12)+SUM(J14:J18)</f>
        <v>0.0104</v>
      </c>
      <c r="K25" s="104">
        <f>SUM(K6:K12)+SUM(K14:K18)</f>
        <v>0.440044</v>
      </c>
      <c r="L25" s="104">
        <f>L14+L18</f>
        <v>0.23776</v>
      </c>
      <c r="M25" s="104">
        <f aca="true" t="shared" si="13" ref="M25:AA25">SUM(M6:M12)+SUM(M14:M18)</f>
        <v>0.068</v>
      </c>
      <c r="N25" s="104">
        <f t="shared" si="13"/>
        <v>0.081</v>
      </c>
      <c r="O25" s="104">
        <f t="shared" si="13"/>
        <v>0.04225</v>
      </c>
      <c r="P25" s="167">
        <f t="shared" si="13"/>
        <v>0.036210000000000006</v>
      </c>
      <c r="Q25" s="116">
        <f t="shared" si="13"/>
        <v>0.003</v>
      </c>
      <c r="R25" s="258">
        <f t="shared" si="13"/>
        <v>0.063</v>
      </c>
      <c r="S25" s="104">
        <f t="shared" si="13"/>
        <v>0.052</v>
      </c>
      <c r="T25" s="328">
        <f t="shared" si="13"/>
        <v>0.0013</v>
      </c>
      <c r="U25" s="328">
        <f>SUM(U6:U12)+SUM(U14:U18)</f>
        <v>0.0003</v>
      </c>
      <c r="V25" s="104">
        <f t="shared" si="13"/>
        <v>0.0060999999999999995</v>
      </c>
      <c r="W25" s="104">
        <f t="shared" si="13"/>
        <v>0.0060999999999999995</v>
      </c>
      <c r="X25" s="104">
        <f t="shared" si="13"/>
        <v>0.0060999999999999995</v>
      </c>
      <c r="Y25" s="104">
        <f t="shared" si="13"/>
        <v>0.0060999999999999995</v>
      </c>
      <c r="Z25" s="104">
        <f t="shared" si="13"/>
        <v>0.0060999999999999995</v>
      </c>
      <c r="AA25" s="167">
        <f t="shared" si="13"/>
        <v>0.0060999999999999995</v>
      </c>
      <c r="AB25" s="150" t="s">
        <v>81</v>
      </c>
      <c r="AC25" s="99"/>
    </row>
    <row r="26" spans="1:29" s="53" customFormat="1" ht="16.5" thickBot="1">
      <c r="A26"/>
      <c r="B26" s="66"/>
      <c r="H26" s="105"/>
      <c r="I26" s="178"/>
      <c r="J26" s="168">
        <f aca="true" t="shared" si="14" ref="J26:AA26">J24*J25</f>
        <v>0.052</v>
      </c>
      <c r="K26" s="181">
        <f t="shared" si="14"/>
        <v>0.7920792</v>
      </c>
      <c r="L26" s="169">
        <f t="shared" si="14"/>
        <v>0.855936</v>
      </c>
      <c r="M26" s="169">
        <f t="shared" si="14"/>
        <v>0.34</v>
      </c>
      <c r="N26" s="169">
        <f t="shared" si="14"/>
        <v>0.405</v>
      </c>
      <c r="O26" s="169">
        <f t="shared" si="14"/>
        <v>0.42250000000000004</v>
      </c>
      <c r="P26" s="170">
        <f t="shared" si="14"/>
        <v>0.3621000000000001</v>
      </c>
      <c r="Q26" s="380">
        <f t="shared" si="14"/>
        <v>0.015</v>
      </c>
      <c r="R26" s="169">
        <f t="shared" si="14"/>
        <v>0.63</v>
      </c>
      <c r="S26" s="169">
        <f t="shared" si="14"/>
        <v>0.52</v>
      </c>
      <c r="T26" s="169">
        <f t="shared" si="14"/>
        <v>0.2925</v>
      </c>
      <c r="U26" s="169">
        <f>U24*U25</f>
        <v>0.06749999999999999</v>
      </c>
      <c r="V26" s="169">
        <f t="shared" si="14"/>
        <v>0.183</v>
      </c>
      <c r="W26" s="169">
        <f t="shared" si="14"/>
        <v>0.183</v>
      </c>
      <c r="X26" s="169">
        <f t="shared" si="14"/>
        <v>0.183</v>
      </c>
      <c r="Y26" s="169">
        <f t="shared" si="14"/>
        <v>0.183</v>
      </c>
      <c r="Z26" s="169">
        <f t="shared" si="14"/>
        <v>0.183</v>
      </c>
      <c r="AA26" s="170">
        <f t="shared" si="14"/>
        <v>0.183</v>
      </c>
      <c r="AB26" s="151" t="s">
        <v>4</v>
      </c>
      <c r="AC26" s="110"/>
    </row>
    <row r="27" spans="1:29" s="53" customFormat="1" ht="15.75" outlineLevel="1">
      <c r="A27"/>
      <c r="B27" s="39"/>
      <c r="C27" s="63"/>
      <c r="D27" s="63"/>
      <c r="E27" s="112"/>
      <c r="F27" s="358"/>
      <c r="G27" s="112"/>
      <c r="H27" s="94"/>
      <c r="I27" s="79" t="s">
        <v>369</v>
      </c>
      <c r="L27" s="112">
        <v>0.545</v>
      </c>
      <c r="M27" s="113"/>
      <c r="N27" s="79" t="s">
        <v>261</v>
      </c>
      <c r="P27" s="79">
        <f>1/(1+L27)</f>
        <v>0.6472491909385114</v>
      </c>
      <c r="Q27" s="53" t="s">
        <v>262</v>
      </c>
      <c r="S27" s="1" t="s">
        <v>326</v>
      </c>
      <c r="T27" s="319"/>
      <c r="U27" s="319"/>
      <c r="V27" s="319"/>
      <c r="W27" s="1">
        <f>(1/Z27-Z31/(T24*0.006)-1)</f>
        <v>1.409356725146199</v>
      </c>
      <c r="X27" s="79" t="s">
        <v>261</v>
      </c>
      <c r="Z27" s="318">
        <v>0.38</v>
      </c>
      <c r="AA27" s="53" t="s">
        <v>262</v>
      </c>
      <c r="AC27" s="71"/>
    </row>
    <row r="28" spans="1:29" s="53" customFormat="1" ht="15.75" outlineLevel="1">
      <c r="A28"/>
      <c r="B28" s="39"/>
      <c r="C28" s="63"/>
      <c r="D28" s="63"/>
      <c r="E28" s="112"/>
      <c r="F28" s="358"/>
      <c r="G28" s="112"/>
      <c r="H28" s="94"/>
      <c r="I28" s="79" t="s">
        <v>370</v>
      </c>
      <c r="L28" s="112">
        <v>0.53</v>
      </c>
      <c r="M28" s="113"/>
      <c r="N28" s="79" t="s">
        <v>261</v>
      </c>
      <c r="P28" s="79">
        <f>1/(1+L28)</f>
        <v>0.6535947712418301</v>
      </c>
      <c r="Q28" s="53" t="s">
        <v>262</v>
      </c>
      <c r="S28" s="1"/>
      <c r="T28" s="319"/>
      <c r="U28" s="319"/>
      <c r="V28" s="319"/>
      <c r="W28" s="1"/>
      <c r="X28" s="79"/>
      <c r="Z28" s="318"/>
      <c r="AC28" s="71"/>
    </row>
    <row r="29" spans="1:29" s="53" customFormat="1" ht="15.75" outlineLevel="1">
      <c r="A29"/>
      <c r="B29" s="39"/>
      <c r="C29" s="63"/>
      <c r="D29" s="63"/>
      <c r="E29" s="112"/>
      <c r="F29" s="358"/>
      <c r="G29" s="112"/>
      <c r="H29" s="94"/>
      <c r="I29" s="79" t="s">
        <v>371</v>
      </c>
      <c r="L29" s="112">
        <v>0.57</v>
      </c>
      <c r="M29" s="113"/>
      <c r="N29" s="79" t="s">
        <v>261</v>
      </c>
      <c r="P29" s="79">
        <f>1/(1+L29)</f>
        <v>0.6369426751592357</v>
      </c>
      <c r="Q29" s="53" t="s">
        <v>262</v>
      </c>
      <c r="S29" s="1"/>
      <c r="T29" s="319"/>
      <c r="U29" s="319"/>
      <c r="V29" s="319"/>
      <c r="W29" s="1"/>
      <c r="X29" s="79"/>
      <c r="Z29" s="318"/>
      <c r="AC29" s="71"/>
    </row>
    <row r="30" spans="1:29" s="53" customFormat="1" ht="15.75" outlineLevel="1">
      <c r="A30"/>
      <c r="B30" s="39"/>
      <c r="C30" s="63"/>
      <c r="D30" s="63"/>
      <c r="E30" s="112"/>
      <c r="F30" s="358"/>
      <c r="G30" s="112"/>
      <c r="H30" s="94"/>
      <c r="I30" s="79" t="s">
        <v>372</v>
      </c>
      <c r="L30" s="112">
        <v>0.61</v>
      </c>
      <c r="M30" s="113"/>
      <c r="N30" s="79" t="s">
        <v>261</v>
      </c>
      <c r="P30" s="79">
        <f>1/(1+L30)</f>
        <v>0.6211180124223603</v>
      </c>
      <c r="Q30" s="53" t="s">
        <v>262</v>
      </c>
      <c r="S30" s="1"/>
      <c r="T30" s="319"/>
      <c r="U30" s="319"/>
      <c r="V30" s="319"/>
      <c r="W30" s="1"/>
      <c r="X30" s="79"/>
      <c r="Z30" s="318"/>
      <c r="AC30" s="71"/>
    </row>
    <row r="31" spans="2:27" ht="12.75" outlineLevel="1">
      <c r="B31" s="39"/>
      <c r="C31" s="65"/>
      <c r="D31" s="114"/>
      <c r="E31" s="115"/>
      <c r="F31" s="70"/>
      <c r="G31" s="116"/>
      <c r="I31" s="113" t="s">
        <v>125</v>
      </c>
      <c r="O31" s="138"/>
      <c r="X31" t="s">
        <v>353</v>
      </c>
      <c r="Z31">
        <v>0.3</v>
      </c>
      <c r="AA31" t="s">
        <v>44</v>
      </c>
    </row>
    <row r="32" spans="9:28" ht="12.75" outlineLevel="1">
      <c r="I32" s="117"/>
      <c r="M32" s="1"/>
      <c r="N32" s="1"/>
      <c r="AB32" s="111"/>
    </row>
    <row r="33" spans="9:13" ht="12.75" outlineLevel="1">
      <c r="I33"/>
      <c r="L33" s="324">
        <v>0.5</v>
      </c>
      <c r="M33" t="s">
        <v>346</v>
      </c>
    </row>
    <row r="34" spans="12:21" ht="12.75" outlineLevel="1">
      <c r="L34" s="324">
        <v>0.34</v>
      </c>
      <c r="M34" t="s">
        <v>347</v>
      </c>
      <c r="U34" s="113"/>
    </row>
    <row r="35" ht="12.75" outlineLevel="1">
      <c r="I35" s="79"/>
    </row>
    <row r="36" spans="9:13" ht="12.75" outlineLevel="1">
      <c r="I36" s="79"/>
      <c r="M36" s="39"/>
    </row>
    <row r="37" ht="12.75" outlineLevel="1">
      <c r="M37" s="39"/>
    </row>
    <row r="38" ht="12.75" outlineLevel="1"/>
    <row r="39" ht="12.75" customHeight="1" outlineLevel="1">
      <c r="I39" s="113" t="s">
        <v>250</v>
      </c>
    </row>
    <row r="40" spans="9:29" ht="13.5" customHeight="1" outlineLevel="1">
      <c r="I40" s="427" t="s">
        <v>39</v>
      </c>
      <c r="J40" s="429" t="s">
        <v>40</v>
      </c>
      <c r="K40" s="429"/>
      <c r="L40" s="430"/>
      <c r="M40" s="430"/>
      <c r="N40" s="430"/>
      <c r="O40" s="430"/>
      <c r="P40" s="430"/>
      <c r="Q40" s="430"/>
      <c r="R40" s="430"/>
      <c r="S40" s="430"/>
      <c r="T40" s="430"/>
      <c r="U40" s="430"/>
      <c r="V40" s="430"/>
      <c r="W40" s="430"/>
      <c r="X40" s="430"/>
      <c r="Y40" s="430"/>
      <c r="Z40" s="430"/>
      <c r="AA40" s="430"/>
      <c r="AB40" s="430"/>
      <c r="AC40" s="431"/>
    </row>
    <row r="41" spans="9:29" ht="13.5" outlineLevel="1" thickBot="1">
      <c r="I41" s="428"/>
      <c r="J41" s="432"/>
      <c r="K41" s="432"/>
      <c r="L41" s="432"/>
      <c r="M41" s="432"/>
      <c r="N41" s="432"/>
      <c r="O41" s="432"/>
      <c r="P41" s="432"/>
      <c r="Q41" s="432"/>
      <c r="R41" s="432"/>
      <c r="S41" s="432"/>
      <c r="T41" s="432"/>
      <c r="U41" s="432"/>
      <c r="V41" s="432"/>
      <c r="W41" s="432"/>
      <c r="X41" s="432"/>
      <c r="Y41" s="432"/>
      <c r="Z41" s="432"/>
      <c r="AA41" s="432"/>
      <c r="AB41" s="433"/>
      <c r="AC41" s="434"/>
    </row>
    <row r="42" spans="9:29" ht="12.75" outlineLevel="1">
      <c r="I42" s="171" t="s">
        <v>46</v>
      </c>
      <c r="J42" s="152" t="str">
        <f aca="true" t="shared" si="15" ref="J42:AA42">J5</f>
        <v>+5V D</v>
      </c>
      <c r="K42" s="152" t="str">
        <f t="shared" si="15"/>
        <v> +1.8V D</v>
      </c>
      <c r="L42" s="152" t="str">
        <f t="shared" si="15"/>
        <v>+3.6D (1)</v>
      </c>
      <c r="M42" s="152" t="str">
        <f t="shared" si="15"/>
        <v>+5V A</v>
      </c>
      <c r="N42" s="152" t="str">
        <f t="shared" si="15"/>
        <v>-5V A</v>
      </c>
      <c r="O42" s="152" t="str">
        <f t="shared" si="15"/>
        <v>+10VA</v>
      </c>
      <c r="P42" s="152" t="str">
        <f t="shared" si="15"/>
        <v>-10VA</v>
      </c>
      <c r="Q42" s="152" t="str">
        <f t="shared" si="15"/>
        <v>+5V D</v>
      </c>
      <c r="R42" s="152" t="str">
        <f t="shared" si="15"/>
        <v>+10V A</v>
      </c>
      <c r="S42" s="152" t="str">
        <f t="shared" si="15"/>
        <v>-10V A</v>
      </c>
      <c r="T42" s="152" t="str">
        <f t="shared" si="15"/>
        <v>+225V</v>
      </c>
      <c r="U42" s="152" t="str">
        <f t="shared" si="15"/>
        <v>-225V</v>
      </c>
      <c r="V42" s="152" t="str">
        <f t="shared" si="15"/>
        <v>+/-15F1</v>
      </c>
      <c r="W42" s="152" t="str">
        <f t="shared" si="15"/>
        <v>+/-15F2</v>
      </c>
      <c r="X42" s="152" t="str">
        <f t="shared" si="15"/>
        <v>+/-15F3</v>
      </c>
      <c r="Y42" s="152" t="str">
        <f t="shared" si="15"/>
        <v>+/-15F4</v>
      </c>
      <c r="Z42" s="152" t="str">
        <f t="shared" si="15"/>
        <v>+/-10F5</v>
      </c>
      <c r="AA42" s="152" t="str">
        <f t="shared" si="15"/>
        <v>+/-15F6</v>
      </c>
      <c r="AB42" s="145" t="s">
        <v>62</v>
      </c>
      <c r="AC42" s="50" t="s">
        <v>63</v>
      </c>
    </row>
    <row r="43" spans="1:29" ht="15.75" outlineLevel="1">
      <c r="A43" s="72" t="s">
        <v>66</v>
      </c>
      <c r="I43" s="172"/>
      <c r="J43" s="426" t="s">
        <v>128</v>
      </c>
      <c r="K43" s="424"/>
      <c r="L43" s="424"/>
      <c r="M43" s="424"/>
      <c r="N43" s="424"/>
      <c r="O43" s="424"/>
      <c r="P43" s="424"/>
      <c r="Q43" s="426" t="s">
        <v>5</v>
      </c>
      <c r="R43" s="424"/>
      <c r="S43" s="424"/>
      <c r="T43" s="424"/>
      <c r="U43" s="424"/>
      <c r="V43" s="424"/>
      <c r="W43" s="424"/>
      <c r="X43" s="424"/>
      <c r="Y43" s="424"/>
      <c r="Z43" s="424"/>
      <c r="AA43" s="425"/>
      <c r="AB43" s="146"/>
      <c r="AC43" s="52"/>
    </row>
    <row r="44" spans="1:29" ht="12.75" outlineLevel="1">
      <c r="A44" s="64" t="s">
        <v>67</v>
      </c>
      <c r="I44" s="173">
        <f aca="true" t="shared" si="16" ref="I44:I49">J44*J$24+K44*K$24+L44*L$24+M44*M$24+N44*N$24+O44*O$24+P44*P$24+Q44*Q$24+R44*R$24+S44*S$24+T44*T$24+U44*U$24+V44*V$24+W44*W$24+X44*X$24+Y44*Y$24+Z44*Z$24+AA44*AA$24</f>
        <v>0.18</v>
      </c>
      <c r="J44" s="64"/>
      <c r="K44" s="56"/>
      <c r="L44" s="56"/>
      <c r="M44" s="56"/>
      <c r="N44" s="56"/>
      <c r="O44" s="56"/>
      <c r="P44" s="254"/>
      <c r="Q44" s="88"/>
      <c r="R44" s="86"/>
      <c r="S44" s="56"/>
      <c r="T44" s="56"/>
      <c r="U44" s="254"/>
      <c r="V44" s="142">
        <f>V7*1.5</f>
        <v>0.006</v>
      </c>
      <c r="W44" s="182"/>
      <c r="X44" s="182"/>
      <c r="Y44" s="182"/>
      <c r="Z44" s="182"/>
      <c r="AA44" s="183"/>
      <c r="AB44" s="147">
        <f>0.1</f>
        <v>0.1</v>
      </c>
      <c r="AC44" s="60">
        <v>2</v>
      </c>
    </row>
    <row r="45" spans="1:29" ht="12.75" outlineLevel="1">
      <c r="A45" s="64" t="s">
        <v>68</v>
      </c>
      <c r="I45" s="173">
        <f t="shared" si="16"/>
        <v>0.18</v>
      </c>
      <c r="J45" s="64"/>
      <c r="K45" s="56"/>
      <c r="L45" s="56"/>
      <c r="M45" s="56"/>
      <c r="N45" s="56"/>
      <c r="O45" s="56"/>
      <c r="P45" s="254"/>
      <c r="Q45" s="88"/>
      <c r="R45" s="56"/>
      <c r="S45" s="56"/>
      <c r="T45" s="56"/>
      <c r="U45" s="56"/>
      <c r="V45" s="261"/>
      <c r="W45" s="182">
        <f>W8*1.5</f>
        <v>0.006</v>
      </c>
      <c r="X45" s="182"/>
      <c r="Y45" s="182"/>
      <c r="Z45" s="182"/>
      <c r="AA45" s="183"/>
      <c r="AB45" s="147">
        <f>0.1</f>
        <v>0.1</v>
      </c>
      <c r="AC45" s="60">
        <v>2</v>
      </c>
    </row>
    <row r="46" spans="1:29" ht="12.75" outlineLevel="1">
      <c r="A46" s="64" t="s">
        <v>69</v>
      </c>
      <c r="I46" s="173">
        <f t="shared" si="16"/>
        <v>0.18</v>
      </c>
      <c r="J46" s="64"/>
      <c r="K46" s="56"/>
      <c r="L46" s="56"/>
      <c r="M46" s="56"/>
      <c r="N46" s="56"/>
      <c r="O46" s="56"/>
      <c r="P46" s="254"/>
      <c r="Q46" s="88"/>
      <c r="R46" s="56"/>
      <c r="S46" s="56"/>
      <c r="T46" s="56"/>
      <c r="U46" s="56"/>
      <c r="V46" s="182"/>
      <c r="W46" s="261"/>
      <c r="X46" s="182">
        <f>X9*1.5</f>
        <v>0.006</v>
      </c>
      <c r="Y46" s="182"/>
      <c r="Z46" s="182"/>
      <c r="AA46" s="183"/>
      <c r="AB46" s="147">
        <f>0.1</f>
        <v>0.1</v>
      </c>
      <c r="AC46" s="60">
        <v>2</v>
      </c>
    </row>
    <row r="47" spans="1:29" ht="12.75" outlineLevel="1">
      <c r="A47" s="64" t="s">
        <v>70</v>
      </c>
      <c r="I47" s="173">
        <f t="shared" si="16"/>
        <v>0.18</v>
      </c>
      <c r="J47" s="64"/>
      <c r="K47" s="56"/>
      <c r="L47" s="56"/>
      <c r="M47" s="56"/>
      <c r="N47" s="56"/>
      <c r="O47" s="56"/>
      <c r="P47" s="254"/>
      <c r="Q47" s="88"/>
      <c r="R47" s="56"/>
      <c r="S47" s="56"/>
      <c r="T47" s="56"/>
      <c r="U47" s="56"/>
      <c r="V47" s="182"/>
      <c r="W47" s="182"/>
      <c r="X47" s="261"/>
      <c r="Y47" s="182">
        <f>Y10*1.5</f>
        <v>0.006</v>
      </c>
      <c r="Z47" s="182"/>
      <c r="AA47" s="183"/>
      <c r="AB47" s="147">
        <f>0.1</f>
        <v>0.1</v>
      </c>
      <c r="AC47" s="60">
        <v>2</v>
      </c>
    </row>
    <row r="48" spans="1:29" ht="12.75" outlineLevel="1">
      <c r="A48" s="64" t="s">
        <v>71</v>
      </c>
      <c r="I48" s="173">
        <f t="shared" si="16"/>
        <v>0.18</v>
      </c>
      <c r="J48" s="64"/>
      <c r="K48" s="56"/>
      <c r="L48" s="56"/>
      <c r="M48" s="56"/>
      <c r="N48" s="56"/>
      <c r="O48" s="56"/>
      <c r="P48" s="254"/>
      <c r="Q48" s="88"/>
      <c r="R48" s="56"/>
      <c r="S48" s="56"/>
      <c r="T48" s="56"/>
      <c r="U48" s="56"/>
      <c r="V48" s="182"/>
      <c r="W48" s="182"/>
      <c r="X48" s="182"/>
      <c r="Y48" s="261"/>
      <c r="Z48" s="182">
        <f>Z11*1.5</f>
        <v>0.006</v>
      </c>
      <c r="AA48" s="183"/>
      <c r="AB48" s="147">
        <f>28/31</f>
        <v>0.9032258064516129</v>
      </c>
      <c r="AC48" s="60"/>
    </row>
    <row r="49" spans="1:29" ht="12.75" outlineLevel="1">
      <c r="A49" s="64" t="s">
        <v>72</v>
      </c>
      <c r="I49" s="173">
        <f t="shared" si="16"/>
        <v>0.18</v>
      </c>
      <c r="J49" s="64"/>
      <c r="K49" s="56"/>
      <c r="L49" s="56"/>
      <c r="M49" s="56"/>
      <c r="N49" s="56"/>
      <c r="O49" s="56"/>
      <c r="P49" s="254"/>
      <c r="Q49" s="88"/>
      <c r="R49" s="56"/>
      <c r="S49" s="56"/>
      <c r="T49" s="56"/>
      <c r="U49" s="56"/>
      <c r="V49" s="182"/>
      <c r="W49" s="182"/>
      <c r="X49" s="182"/>
      <c r="Y49" s="182"/>
      <c r="Z49" s="261"/>
      <c r="AA49" s="334">
        <f>AA12*1.5</f>
        <v>0.006</v>
      </c>
      <c r="AB49" s="147">
        <f>28/31</f>
        <v>0.9032258064516129</v>
      </c>
      <c r="AC49" s="60"/>
    </row>
    <row r="50" spans="1:29" ht="15.75" outlineLevel="1">
      <c r="A50" s="72" t="s">
        <v>73</v>
      </c>
      <c r="I50" s="174"/>
      <c r="J50" s="156"/>
      <c r="K50" s="51"/>
      <c r="L50" s="51"/>
      <c r="M50" s="51"/>
      <c r="N50" s="51"/>
      <c r="O50" s="51"/>
      <c r="P50" s="260"/>
      <c r="Q50" s="265"/>
      <c r="R50" s="51"/>
      <c r="S50" s="51"/>
      <c r="T50" s="51"/>
      <c r="U50" s="51"/>
      <c r="V50" s="335"/>
      <c r="W50" s="335"/>
      <c r="X50" s="335"/>
      <c r="Y50" s="335"/>
      <c r="Z50" s="335"/>
      <c r="AA50" s="336"/>
      <c r="AB50" s="146"/>
      <c r="AC50" s="52"/>
    </row>
    <row r="51" spans="1:31" ht="12.75" outlineLevel="1">
      <c r="A51" s="64" t="s">
        <v>361</v>
      </c>
      <c r="I51" s="173">
        <f>J51*J$24+K51*K$24+L51*L$24+M51*M$24+N51*N$24+O51*O$24+P51*P$24+Q51*Q$24+R51*R$24+S51*S$24+T51*T$24+U51*U$24+V51*V$24+W51*W$24+X51*X$24+Y51*Y$24+Z51*Z$24+AA51*AA$24</f>
        <v>2.539</v>
      </c>
      <c r="J51" s="267">
        <v>0.011</v>
      </c>
      <c r="K51" s="341">
        <f>DFB_Max_2008_07_07!T33/1000</f>
        <v>0.38</v>
      </c>
      <c r="L51" s="142">
        <v>0.125</v>
      </c>
      <c r="M51" s="341">
        <f>0.082</f>
        <v>0.082</v>
      </c>
      <c r="N51" s="341">
        <f>0.102</f>
        <v>0.102</v>
      </c>
      <c r="O51" s="142">
        <f>0.027</f>
        <v>0.027</v>
      </c>
      <c r="P51" s="341">
        <f>0.016</f>
        <v>0.016</v>
      </c>
      <c r="Q51" s="275"/>
      <c r="R51" s="143"/>
      <c r="S51" s="143"/>
      <c r="T51" s="57"/>
      <c r="U51" s="57"/>
      <c r="V51" s="57"/>
      <c r="W51" s="57"/>
      <c r="X51" s="57"/>
      <c r="Y51" s="57"/>
      <c r="Z51" s="57"/>
      <c r="AA51" s="155"/>
      <c r="AB51" s="148"/>
      <c r="AC51" s="58"/>
      <c r="AE51" s="367" t="s">
        <v>363</v>
      </c>
    </row>
    <row r="52" spans="1:31" ht="12.75" outlineLevel="1">
      <c r="A52" s="64" t="s">
        <v>75</v>
      </c>
      <c r="I52" s="173">
        <f>J52*J$24+K52*K$24+L52*L$24+M52*M$24+N52*N$24+O52*O$24+P52*P$24+Q52*Q$24+R52*R$24+S52*S$24+T52*T$24/2+U52*U$24/2+V52*V$24+W52*W$24+X52*X$24+Y52*Y$24+Z52*Z$24+AA52*AA$24</f>
        <v>3.1637500000000003</v>
      </c>
      <c r="J52" s="250"/>
      <c r="K52" s="251"/>
      <c r="L52" s="57"/>
      <c r="M52" s="144"/>
      <c r="N52" s="144"/>
      <c r="O52" s="182"/>
      <c r="P52" s="261"/>
      <c r="Q52" s="267">
        <f>Q15*1.5</f>
        <v>0.0045000000000000005</v>
      </c>
      <c r="R52" s="261">
        <v>0.063</v>
      </c>
      <c r="S52" s="182">
        <v>0.061</v>
      </c>
      <c r="T52" s="333">
        <v>0.00557</v>
      </c>
      <c r="U52" s="333">
        <v>0.00557</v>
      </c>
      <c r="V52" s="182">
        <f aca="true" t="shared" si="17" ref="V52:AA52">0.0036</f>
        <v>0.0036</v>
      </c>
      <c r="W52" s="182">
        <f t="shared" si="17"/>
        <v>0.0036</v>
      </c>
      <c r="X52" s="182">
        <f t="shared" si="17"/>
        <v>0.0036</v>
      </c>
      <c r="Y52" s="182">
        <f t="shared" si="17"/>
        <v>0.0036</v>
      </c>
      <c r="Z52" s="182">
        <f t="shared" si="17"/>
        <v>0.0036</v>
      </c>
      <c r="AA52" s="182">
        <f t="shared" si="17"/>
        <v>0.0036</v>
      </c>
      <c r="AB52" s="148"/>
      <c r="AC52" s="58"/>
      <c r="AD52" t="s">
        <v>351</v>
      </c>
      <c r="AE52" s="368" t="s">
        <v>259</v>
      </c>
    </row>
    <row r="53" spans="1:31" ht="12.75" outlineLevel="1">
      <c r="A53" s="64" t="s">
        <v>76</v>
      </c>
      <c r="I53" s="173">
        <f>J53*J$24+K53*K$24+L53*L$24+M53*M$24+N53*N$24+O53*O$24+P53*P$24+Q53*Q$24+R53*R$24+S53*S$24+T53*T$24+U53*U$24+V53*V$24+W53*W$24+X53*X$24+Y53*Y$24+Z53*Z$24+AA53*AA$24</f>
        <v>0.73125</v>
      </c>
      <c r="J53" s="159"/>
      <c r="K53" s="57"/>
      <c r="L53" s="144"/>
      <c r="M53" s="253">
        <f>M16*1.5</f>
        <v>0.00375</v>
      </c>
      <c r="N53" s="253">
        <f>N16*1.5</f>
        <v>0.0075</v>
      </c>
      <c r="O53" s="251">
        <f>O16*1.5</f>
        <v>0.037500000000000006</v>
      </c>
      <c r="P53" s="253">
        <f>P16*1.5</f>
        <v>0.03</v>
      </c>
      <c r="Q53" s="250"/>
      <c r="R53" s="143"/>
      <c r="S53" s="143"/>
      <c r="T53" s="57"/>
      <c r="U53" s="57"/>
      <c r="V53" s="57"/>
      <c r="W53" s="57"/>
      <c r="X53" s="57"/>
      <c r="Y53" s="57"/>
      <c r="Z53" s="57"/>
      <c r="AA53" s="155"/>
      <c r="AB53" s="148"/>
      <c r="AC53" s="58"/>
      <c r="AE53" s="369" t="s">
        <v>349</v>
      </c>
    </row>
    <row r="54" spans="1:31" ht="12.75" outlineLevel="1">
      <c r="A54" s="64" t="s">
        <v>85</v>
      </c>
      <c r="I54" s="173">
        <f>J54*J$24+K54*K$24+L54*L$24+M54*M$24+N54*N$24+O54*O$24+P54*P$24+Q54*Q$24+R54*R$24+S54*S$24+T54*T$24+U54*U$24+V54*V$24+W54*W$24+X54*X$24+Y54*Y$24+Z54*Z$24+AA54*AA$24</f>
        <v>0.14400000000000002</v>
      </c>
      <c r="J54" s="159"/>
      <c r="K54" s="57"/>
      <c r="L54" s="143">
        <f>DCB_2008_08_18!G10/1000</f>
        <v>0.04</v>
      </c>
      <c r="M54" s="144"/>
      <c r="N54" s="144"/>
      <c r="O54" s="57"/>
      <c r="P54" s="144"/>
      <c r="Q54" s="266"/>
      <c r="R54" s="57"/>
      <c r="S54" s="57"/>
      <c r="T54" s="57"/>
      <c r="U54" s="57"/>
      <c r="V54" s="57"/>
      <c r="W54" s="57"/>
      <c r="X54" s="57"/>
      <c r="Y54" s="57"/>
      <c r="Z54" s="57"/>
      <c r="AA54" s="155"/>
      <c r="AB54" s="148"/>
      <c r="AC54" s="58"/>
      <c r="AE54" s="370"/>
    </row>
    <row r="55" spans="1:31" ht="12.75" outlineLevel="1">
      <c r="A55" s="64" t="s">
        <v>77</v>
      </c>
      <c r="I55" s="173">
        <f>J55*J$24+K55*K$24+L55*L$24+M55*M$24+N55*N$24+O55*O$24+P55*P$24+Q55*Q$24+R55*R$24+S55*S$24+T55*T$24+U55*U$24+V55*V$24+W55*W$24+X55*X$24+Y55*Y$24+Z55*Z$24+AA55*AA$24</f>
        <v>2.490568410181819</v>
      </c>
      <c r="J55" s="337">
        <f>J18*1.5</f>
        <v>0.0066</v>
      </c>
      <c r="K55" s="182">
        <f>DCB_2008_08_18!G24/1000</f>
        <v>0.3732</v>
      </c>
      <c r="L55" s="182">
        <f>DCB_2008_08_18!G23/1000</f>
        <v>0.3911967806060606</v>
      </c>
      <c r="M55" s="261">
        <f>M18</f>
        <v>0.0165</v>
      </c>
      <c r="N55" s="338">
        <f>N18</f>
        <v>0.011000000000000001</v>
      </c>
      <c r="O55" s="339">
        <f>0.012</f>
        <v>0.012</v>
      </c>
      <c r="P55" s="338">
        <f>0.012</f>
        <v>0.012</v>
      </c>
      <c r="Q55" s="250"/>
      <c r="R55" s="57"/>
      <c r="S55" s="57"/>
      <c r="T55" s="57"/>
      <c r="U55" s="57"/>
      <c r="V55" s="57"/>
      <c r="W55" s="57"/>
      <c r="X55" s="57"/>
      <c r="Y55" s="57"/>
      <c r="Z55" s="57"/>
      <c r="AA55" s="155"/>
      <c r="AB55" s="148"/>
      <c r="AC55" s="58"/>
      <c r="AE55" s="367" t="s">
        <v>362</v>
      </c>
    </row>
    <row r="56" spans="1:31" ht="12.75" outlineLevel="1">
      <c r="A56" s="80" t="s">
        <v>78</v>
      </c>
      <c r="I56" s="173">
        <f>J56*J$24+K56*K$24+L56*L$24+M56*M$24+N56*N$24+O56*O$24+P56*P$24+Q56*Q$24+R56*R$24+S56*S$24+T56*T$24/2+U56*U$24/2+V56*V$24+W56*W$24+X56*X$24+Y56*Y$24+Z56*Z$24+AA56*AA$24</f>
        <v>6.157928796706985</v>
      </c>
      <c r="J56" s="340">
        <f aca="true" t="shared" si="18" ref="J56:S56">SUM(J43:J55)*$L$27</f>
        <v>0.009592</v>
      </c>
      <c r="K56" s="272">
        <f t="shared" si="18"/>
        <v>0.410494</v>
      </c>
      <c r="L56" s="142">
        <f t="shared" si="18"/>
        <v>0.30312724543030306</v>
      </c>
      <c r="M56" s="142">
        <f t="shared" si="18"/>
        <v>0.055726250000000005</v>
      </c>
      <c r="N56" s="142">
        <f t="shared" si="18"/>
        <v>0.0656725</v>
      </c>
      <c r="O56" s="142">
        <f t="shared" si="18"/>
        <v>0.0416925</v>
      </c>
      <c r="P56" s="341">
        <f t="shared" si="18"/>
        <v>0.03161</v>
      </c>
      <c r="Q56" s="271">
        <f t="shared" si="18"/>
        <v>0.0024525000000000003</v>
      </c>
      <c r="R56" s="207">
        <f t="shared" si="18"/>
        <v>0.034335000000000004</v>
      </c>
      <c r="S56" s="207">
        <f t="shared" si="18"/>
        <v>0.033245000000000004</v>
      </c>
      <c r="T56" s="327">
        <f>(SUM(T44:T55)*$W$27+$Z$31/T58+T19)/2</f>
        <v>0.006174473684210527</v>
      </c>
      <c r="U56" s="327">
        <f>(SUM(U44:U55)*$W$27+$Z$31/U58+U19)/2</f>
        <v>0.005469795321637428</v>
      </c>
      <c r="V56" s="207">
        <f aca="true" t="shared" si="19" ref="V56:AA56">SUM(V43:V55)*$L$27</f>
        <v>0.0052320000000000005</v>
      </c>
      <c r="W56" s="207">
        <f t="shared" si="19"/>
        <v>0.0052320000000000005</v>
      </c>
      <c r="X56" s="207">
        <f t="shared" si="19"/>
        <v>0.0052320000000000005</v>
      </c>
      <c r="Y56" s="207">
        <f t="shared" si="19"/>
        <v>0.0052320000000000005</v>
      </c>
      <c r="Z56" s="207">
        <f t="shared" si="19"/>
        <v>0.0052320000000000005</v>
      </c>
      <c r="AA56" s="274">
        <f t="shared" si="19"/>
        <v>0.0052320000000000005</v>
      </c>
      <c r="AB56" s="149"/>
      <c r="AC56" s="87"/>
      <c r="AE56" s="370" t="s">
        <v>354</v>
      </c>
    </row>
    <row r="57" spans="9:29" ht="12.75" outlineLevel="1">
      <c r="I57" s="175"/>
      <c r="J57" s="162"/>
      <c r="K57" s="89"/>
      <c r="L57" s="89"/>
      <c r="M57" s="89"/>
      <c r="N57" s="89"/>
      <c r="O57" s="89"/>
      <c r="P57" s="89"/>
      <c r="Q57" s="162"/>
      <c r="R57" s="257"/>
      <c r="S57" s="89"/>
      <c r="T57" s="89"/>
      <c r="U57" s="89"/>
      <c r="V57" s="89"/>
      <c r="W57" s="89"/>
      <c r="X57" s="89"/>
      <c r="Y57" s="89"/>
      <c r="Z57" s="89"/>
      <c r="AA57" s="163"/>
      <c r="AB57" s="90"/>
      <c r="AC57" s="90"/>
    </row>
    <row r="58" spans="9:30" ht="15">
      <c r="I58" s="176">
        <f>SUM(I43:I49)+SUM(I51:I56)</f>
        <v>16.306497206888803</v>
      </c>
      <c r="J58" s="164">
        <f aca="true" t="shared" si="20" ref="J58:AA58">J24</f>
        <v>5</v>
      </c>
      <c r="K58" s="97">
        <f t="shared" si="20"/>
        <v>1.8</v>
      </c>
      <c r="L58" s="97">
        <f t="shared" si="20"/>
        <v>3.6</v>
      </c>
      <c r="M58" s="97">
        <f t="shared" si="20"/>
        <v>5</v>
      </c>
      <c r="N58" s="97">
        <f t="shared" si="20"/>
        <v>5</v>
      </c>
      <c r="O58" s="97">
        <f t="shared" si="20"/>
        <v>10</v>
      </c>
      <c r="P58" s="262">
        <f t="shared" si="20"/>
        <v>10</v>
      </c>
      <c r="Q58" s="164">
        <f t="shared" si="20"/>
        <v>5</v>
      </c>
      <c r="R58" s="97">
        <f t="shared" si="20"/>
        <v>10</v>
      </c>
      <c r="S58" s="97">
        <f t="shared" si="20"/>
        <v>10</v>
      </c>
      <c r="T58" s="97">
        <f t="shared" si="20"/>
        <v>225</v>
      </c>
      <c r="U58" s="97">
        <f t="shared" si="20"/>
        <v>225</v>
      </c>
      <c r="V58" s="97">
        <f t="shared" si="20"/>
        <v>30</v>
      </c>
      <c r="W58" s="97">
        <f t="shared" si="20"/>
        <v>30</v>
      </c>
      <c r="X58" s="97">
        <f t="shared" si="20"/>
        <v>30</v>
      </c>
      <c r="Y58" s="97">
        <f t="shared" si="20"/>
        <v>30</v>
      </c>
      <c r="Z58" s="97">
        <f t="shared" si="20"/>
        <v>30</v>
      </c>
      <c r="AA58" s="165">
        <f t="shared" si="20"/>
        <v>30</v>
      </c>
      <c r="AB58" s="150" t="s">
        <v>80</v>
      </c>
      <c r="AC58" s="99"/>
      <c r="AD58" t="s">
        <v>352</v>
      </c>
    </row>
    <row r="59" spans="9:29" ht="15">
      <c r="I59" s="177" t="s">
        <v>252</v>
      </c>
      <c r="J59" s="166">
        <f aca="true" t="shared" si="21" ref="J59:AA59">SUM(J43:J49)+SUM(J51:J55)</f>
        <v>0.017599999999999998</v>
      </c>
      <c r="K59" s="104">
        <f t="shared" si="21"/>
        <v>0.7532</v>
      </c>
      <c r="L59" s="104">
        <f t="shared" si="21"/>
        <v>0.5561967806060606</v>
      </c>
      <c r="M59" s="104">
        <f t="shared" si="21"/>
        <v>0.10225000000000001</v>
      </c>
      <c r="N59" s="104">
        <f t="shared" si="21"/>
        <v>0.12049999999999998</v>
      </c>
      <c r="O59" s="104">
        <f t="shared" si="21"/>
        <v>0.0765</v>
      </c>
      <c r="P59" s="116">
        <f t="shared" si="21"/>
        <v>0.057999999999999996</v>
      </c>
      <c r="Q59" s="166">
        <f t="shared" si="21"/>
        <v>0.0045000000000000005</v>
      </c>
      <c r="R59" s="258">
        <f t="shared" si="21"/>
        <v>0.063</v>
      </c>
      <c r="S59" s="104">
        <f t="shared" si="21"/>
        <v>0.061</v>
      </c>
      <c r="T59" s="328">
        <f t="shared" si="21"/>
        <v>0.00557</v>
      </c>
      <c r="U59" s="328">
        <f t="shared" si="21"/>
        <v>0.00557</v>
      </c>
      <c r="V59" s="104">
        <f t="shared" si="21"/>
        <v>0.009600000000000001</v>
      </c>
      <c r="W59" s="104">
        <f t="shared" si="21"/>
        <v>0.009600000000000001</v>
      </c>
      <c r="X59" s="104">
        <f t="shared" si="21"/>
        <v>0.009600000000000001</v>
      </c>
      <c r="Y59" s="104">
        <f t="shared" si="21"/>
        <v>0.009600000000000001</v>
      </c>
      <c r="Z59" s="104">
        <f t="shared" si="21"/>
        <v>0.009600000000000001</v>
      </c>
      <c r="AA59" s="167">
        <f t="shared" si="21"/>
        <v>0.009600000000000001</v>
      </c>
      <c r="AB59" s="150" t="s">
        <v>81</v>
      </c>
      <c r="AC59" s="99"/>
    </row>
    <row r="60" spans="9:29" ht="15.75" thickBot="1">
      <c r="I60" s="178"/>
      <c r="J60" s="168">
        <f aca="true" t="shared" si="22" ref="J60:AA60">J58*J59</f>
        <v>0.088</v>
      </c>
      <c r="K60" s="181">
        <f t="shared" si="22"/>
        <v>1.35576</v>
      </c>
      <c r="L60" s="169">
        <f t="shared" si="22"/>
        <v>2.002308410181818</v>
      </c>
      <c r="M60" s="169">
        <f t="shared" si="22"/>
        <v>0.51125</v>
      </c>
      <c r="N60" s="169">
        <f t="shared" si="22"/>
        <v>0.6024999999999999</v>
      </c>
      <c r="O60" s="169">
        <f t="shared" si="22"/>
        <v>0.765</v>
      </c>
      <c r="P60" s="263">
        <f t="shared" si="22"/>
        <v>0.58</v>
      </c>
      <c r="Q60" s="168">
        <f t="shared" si="22"/>
        <v>0.022500000000000003</v>
      </c>
      <c r="R60" s="169">
        <f t="shared" si="22"/>
        <v>0.63</v>
      </c>
      <c r="S60" s="169">
        <f t="shared" si="22"/>
        <v>0.61</v>
      </c>
      <c r="T60" s="169">
        <f t="shared" si="22"/>
        <v>1.25325</v>
      </c>
      <c r="U60" s="169">
        <f t="shared" si="22"/>
        <v>1.25325</v>
      </c>
      <c r="V60" s="169">
        <f t="shared" si="22"/>
        <v>0.28800000000000003</v>
      </c>
      <c r="W60" s="169">
        <f t="shared" si="22"/>
        <v>0.28800000000000003</v>
      </c>
      <c r="X60" s="169">
        <f t="shared" si="22"/>
        <v>0.28800000000000003</v>
      </c>
      <c r="Y60" s="169">
        <f t="shared" si="22"/>
        <v>0.28800000000000003</v>
      </c>
      <c r="Z60" s="169">
        <f t="shared" si="22"/>
        <v>0.28800000000000003</v>
      </c>
      <c r="AA60" s="170">
        <f t="shared" si="22"/>
        <v>0.28800000000000003</v>
      </c>
      <c r="AB60" s="151" t="s">
        <v>4</v>
      </c>
      <c r="AC60" s="110"/>
    </row>
    <row r="61" spans="9:17" ht="15">
      <c r="I61" s="79" t="s">
        <v>369</v>
      </c>
      <c r="J61" s="53"/>
      <c r="K61" s="53"/>
      <c r="L61" s="112">
        <v>0.62</v>
      </c>
      <c r="M61" s="113"/>
      <c r="N61" s="79" t="s">
        <v>261</v>
      </c>
      <c r="O61" s="53"/>
      <c r="P61" s="79">
        <f>1/(1+L61)</f>
        <v>0.6172839506172839</v>
      </c>
      <c r="Q61" s="53" t="s">
        <v>262</v>
      </c>
    </row>
    <row r="62" spans="9:17" ht="15">
      <c r="I62" s="79" t="s">
        <v>370</v>
      </c>
      <c r="J62" s="53"/>
      <c r="K62" s="53"/>
      <c r="L62" s="112">
        <v>0.61</v>
      </c>
      <c r="M62" s="113"/>
      <c r="N62" s="79" t="s">
        <v>261</v>
      </c>
      <c r="O62" s="53"/>
      <c r="P62" s="79">
        <f>1/(1+L62)</f>
        <v>0.6211180124223603</v>
      </c>
      <c r="Q62" s="53" t="s">
        <v>262</v>
      </c>
    </row>
    <row r="63" spans="9:17" ht="15">
      <c r="I63" s="79" t="s">
        <v>371</v>
      </c>
      <c r="J63" s="53"/>
      <c r="K63" s="53"/>
      <c r="L63" s="112">
        <v>0.66</v>
      </c>
      <c r="M63" s="113"/>
      <c r="N63" s="79" t="s">
        <v>261</v>
      </c>
      <c r="O63" s="53"/>
      <c r="P63" s="79">
        <f>1/(1+L63)</f>
        <v>0.6024096385542168</v>
      </c>
      <c r="Q63" s="53" t="s">
        <v>262</v>
      </c>
    </row>
    <row r="64" spans="9:17" ht="15">
      <c r="I64" s="79" t="s">
        <v>372</v>
      </c>
      <c r="J64" s="53"/>
      <c r="K64" s="53"/>
      <c r="L64" s="112">
        <v>0.67</v>
      </c>
      <c r="M64" s="113"/>
      <c r="N64" s="79" t="s">
        <v>261</v>
      </c>
      <c r="O64" s="53"/>
      <c r="P64" s="79">
        <f>1/(1+L64)</f>
        <v>0.5988023952095809</v>
      </c>
      <c r="Q64" s="53" t="s">
        <v>262</v>
      </c>
    </row>
    <row r="70" spans="1:8" ht="25.5">
      <c r="A70" s="133" t="s">
        <v>107</v>
      </c>
      <c r="B70" s="134" t="s">
        <v>108</v>
      </c>
      <c r="C70" s="134" t="s">
        <v>112</v>
      </c>
      <c r="D70" s="418" t="s">
        <v>101</v>
      </c>
      <c r="E70" s="390"/>
      <c r="F70" s="390"/>
      <c r="G70" s="390"/>
      <c r="H70" s="390"/>
    </row>
    <row r="71" spans="1:8" ht="12.75">
      <c r="A71" s="20" t="s">
        <v>96</v>
      </c>
      <c r="B71" s="21">
        <f>G24</f>
        <v>11.1583875</v>
      </c>
      <c r="C71" s="131">
        <f>G25/B76</f>
        <v>1.0533181818181818</v>
      </c>
      <c r="D71" s="450" t="s">
        <v>253</v>
      </c>
      <c r="E71" s="450"/>
      <c r="F71" s="450"/>
      <c r="G71" s="450"/>
      <c r="H71" s="450"/>
    </row>
    <row r="72" spans="1:8" ht="12.75">
      <c r="A72" s="132" t="s">
        <v>313</v>
      </c>
      <c r="B72" s="21">
        <v>10</v>
      </c>
      <c r="C72" s="131">
        <f>35/F82</f>
        <v>0.2857142857142857</v>
      </c>
      <c r="D72" s="449" t="s">
        <v>333</v>
      </c>
      <c r="E72" s="450"/>
      <c r="F72" s="450"/>
      <c r="G72" s="450"/>
      <c r="H72" s="450"/>
    </row>
    <row r="73" spans="1:8" ht="12.75">
      <c r="A73" s="132" t="s">
        <v>99</v>
      </c>
      <c r="B73" s="21">
        <f>C81*B77</f>
        <v>11.804545454545453</v>
      </c>
      <c r="C73" s="21">
        <f>MAX(C80,C83)</f>
        <v>1.9125683060109289</v>
      </c>
      <c r="D73" s="449" t="s">
        <v>115</v>
      </c>
      <c r="E73" s="450"/>
      <c r="F73" s="450"/>
      <c r="G73" s="450"/>
      <c r="H73" s="450"/>
    </row>
    <row r="74" spans="1:8" ht="12.75">
      <c r="A74" s="132" t="s">
        <v>100</v>
      </c>
      <c r="B74" s="21">
        <f>C81*B77</f>
        <v>11.804545454545453</v>
      </c>
      <c r="C74" s="21">
        <f>MAX(C79,C82,C83)</f>
        <v>2.2580645161290325</v>
      </c>
      <c r="D74" s="449" t="s">
        <v>116</v>
      </c>
      <c r="E74" s="450"/>
      <c r="F74" s="450"/>
      <c r="G74" s="450"/>
      <c r="H74" s="450"/>
    </row>
    <row r="76" spans="1:3" ht="12.75">
      <c r="A76" s="113" t="s">
        <v>103</v>
      </c>
      <c r="B76" s="39">
        <v>22</v>
      </c>
      <c r="C76" s="79" t="s">
        <v>105</v>
      </c>
    </row>
    <row r="77" spans="1:3" ht="12.75">
      <c r="A77" s="113" t="s">
        <v>104</v>
      </c>
      <c r="B77">
        <v>35</v>
      </c>
      <c r="C77" t="s">
        <v>105</v>
      </c>
    </row>
    <row r="78" spans="1:3" ht="12.75">
      <c r="A78" s="113"/>
      <c r="C78"/>
    </row>
    <row r="79" spans="1:7" ht="12.75">
      <c r="A79" t="s">
        <v>273</v>
      </c>
      <c r="B79" s="2"/>
      <c r="C79" s="130">
        <f>2*B77/F79</f>
        <v>2.2580645161290325</v>
      </c>
      <c r="D79" s="127" t="s">
        <v>111</v>
      </c>
      <c r="F79" s="129">
        <v>31</v>
      </c>
      <c r="G79" s="113" t="s">
        <v>102</v>
      </c>
    </row>
    <row r="80" spans="1:7" ht="12.75">
      <c r="A80" s="79" t="s">
        <v>271</v>
      </c>
      <c r="B80" s="2"/>
      <c r="C80" s="128">
        <f>B77/F80</f>
        <v>1.9125683060109289</v>
      </c>
      <c r="D80" s="127" t="s">
        <v>111</v>
      </c>
      <c r="E80" s="113"/>
      <c r="F80" s="129">
        <f>36.6/2</f>
        <v>18.3</v>
      </c>
      <c r="G80" s="113" t="s">
        <v>102</v>
      </c>
    </row>
    <row r="81" spans="1:7" ht="12.75">
      <c r="A81" s="79" t="s">
        <v>109</v>
      </c>
      <c r="B81" s="124"/>
      <c r="C81" s="128">
        <f>B77/F81</f>
        <v>0.3372727272727272</v>
      </c>
      <c r="D81" s="127" t="s">
        <v>111</v>
      </c>
      <c r="E81" s="113"/>
      <c r="F81" s="126">
        <f>22/0.212</f>
        <v>103.77358490566039</v>
      </c>
      <c r="G81" s="113" t="s">
        <v>102</v>
      </c>
    </row>
    <row r="82" spans="1:7" ht="12.75">
      <c r="A82" s="79" t="s">
        <v>314</v>
      </c>
      <c r="C82" s="125">
        <f>B77/F82</f>
        <v>0.2857142857142857</v>
      </c>
      <c r="D82" s="127" t="s">
        <v>111</v>
      </c>
      <c r="E82" s="113"/>
      <c r="F82" s="126">
        <f>(B77*B77)/B72</f>
        <v>122.5</v>
      </c>
      <c r="G82" s="113" t="s">
        <v>102</v>
      </c>
    </row>
    <row r="83" spans="1:4" ht="12.75">
      <c r="A83" s="79" t="s">
        <v>272</v>
      </c>
      <c r="C83" s="284">
        <v>1.5</v>
      </c>
      <c r="D83" s="285" t="s">
        <v>312</v>
      </c>
    </row>
    <row r="84" ht="12.75">
      <c r="D84" s="285" t="s">
        <v>373</v>
      </c>
    </row>
  </sheetData>
  <mergeCells count="16">
    <mergeCell ref="Q6:AA6"/>
    <mergeCell ref="Q43:AA43"/>
    <mergeCell ref="I40:I41"/>
    <mergeCell ref="J40:AC41"/>
    <mergeCell ref="J43:P43"/>
    <mergeCell ref="J6:P6"/>
    <mergeCell ref="A3:A5"/>
    <mergeCell ref="E3:G4"/>
    <mergeCell ref="B3:D4"/>
    <mergeCell ref="J3:AC4"/>
    <mergeCell ref="I3:I4"/>
    <mergeCell ref="D74:H74"/>
    <mergeCell ref="D70:H70"/>
    <mergeCell ref="D71:H71"/>
    <mergeCell ref="D72:H72"/>
    <mergeCell ref="D73:H73"/>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ignoredErrors>
    <ignoredError sqref="L19" formula="1"/>
  </ignoredErrors>
  <legacyDrawing r:id="rId2"/>
</worksheet>
</file>

<file path=xl/worksheets/sheet6.xml><?xml version="1.0" encoding="utf-8"?>
<worksheet xmlns="http://schemas.openxmlformats.org/spreadsheetml/2006/main" xmlns:r="http://schemas.openxmlformats.org/officeDocument/2006/relationships">
  <dimension ref="A1:J39"/>
  <sheetViews>
    <sheetView workbookViewId="0" topLeftCell="A1">
      <selection activeCell="B9" sqref="B9"/>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355" t="s">
        <v>0</v>
      </c>
      <c r="B5" s="356" t="s">
        <v>17</v>
      </c>
      <c r="C5" s="357" t="s">
        <v>334</v>
      </c>
      <c r="D5" s="356" t="s">
        <v>132</v>
      </c>
      <c r="E5" s="356" t="s">
        <v>19</v>
      </c>
      <c r="F5" s="356" t="s">
        <v>20</v>
      </c>
      <c r="G5" s="16"/>
      <c r="H5" s="32"/>
      <c r="I5" s="8" t="s">
        <v>25</v>
      </c>
      <c r="J5" s="7"/>
    </row>
    <row r="6" spans="1:10" ht="12.75">
      <c r="A6" s="346" t="s">
        <v>5</v>
      </c>
      <c r="B6" s="347">
        <f>'Detail 2010-04-08'!E15</f>
        <v>1.9029999999999996</v>
      </c>
      <c r="C6" s="348">
        <f aca="true" t="shared" si="0" ref="C6:C13">(D6-B6)/B6</f>
        <v>-0.027850761954807936</v>
      </c>
      <c r="D6" s="347">
        <v>1.85</v>
      </c>
      <c r="E6" s="347"/>
      <c r="F6" s="347">
        <v>0</v>
      </c>
      <c r="G6" s="16"/>
      <c r="H6" s="28"/>
      <c r="I6" s="19" t="s">
        <v>368</v>
      </c>
      <c r="J6" s="13"/>
    </row>
    <row r="7" spans="1:10" ht="12.75">
      <c r="A7" s="346" t="s">
        <v>6</v>
      </c>
      <c r="B7" s="347">
        <f>'Detail 2010-04-08'!E14</f>
        <v>1.504536</v>
      </c>
      <c r="C7" s="348">
        <f t="shared" si="0"/>
        <v>0.21525008374674964</v>
      </c>
      <c r="D7" s="347">
        <v>1.8283874999999998</v>
      </c>
      <c r="E7" s="347"/>
      <c r="F7" s="347">
        <v>0</v>
      </c>
      <c r="G7" s="16"/>
      <c r="H7" s="28"/>
      <c r="I7" s="19" t="s">
        <v>364</v>
      </c>
      <c r="J7" s="13"/>
    </row>
    <row r="8" spans="1:10" ht="12.75">
      <c r="A8" s="346" t="s">
        <v>359</v>
      </c>
      <c r="B8" s="347">
        <f>'Detail 2010-04-08'!E18</f>
        <v>1.2375791999999999</v>
      </c>
      <c r="C8" s="348">
        <f t="shared" si="0"/>
        <v>0.6887808069172462</v>
      </c>
      <c r="D8" s="347">
        <v>2.09</v>
      </c>
      <c r="E8" s="347"/>
      <c r="F8" s="347">
        <v>0</v>
      </c>
      <c r="G8" s="16"/>
      <c r="H8" s="28"/>
      <c r="I8" s="19" t="s">
        <v>364</v>
      </c>
      <c r="J8" s="13"/>
    </row>
    <row r="9" spans="1:10" ht="12.75">
      <c r="A9" s="346" t="s">
        <v>8</v>
      </c>
      <c r="B9" s="347">
        <f>'Detail 2010-04-08'!E16+'Detail 2010-04-08'!E19</f>
        <v>5.219994453052631</v>
      </c>
      <c r="C9" s="348">
        <f t="shared" si="0"/>
        <v>-0.13923387899916242</v>
      </c>
      <c r="D9" s="347">
        <v>4.493194377000002</v>
      </c>
      <c r="E9" s="347"/>
      <c r="F9" s="347">
        <v>0</v>
      </c>
      <c r="G9" s="16"/>
      <c r="H9" s="28"/>
      <c r="I9" s="19" t="s">
        <v>365</v>
      </c>
      <c r="J9" s="13"/>
    </row>
    <row r="10" spans="1:10" ht="12.75">
      <c r="A10" s="349" t="s">
        <v>31</v>
      </c>
      <c r="B10" s="350">
        <f>SUM(B6:B9)</f>
        <v>9.865109653052631</v>
      </c>
      <c r="C10" s="348">
        <f t="shared" si="0"/>
        <v>0.04018933776622411</v>
      </c>
      <c r="D10" s="350">
        <f>SUM(D6:D9)</f>
        <v>10.261581877000001</v>
      </c>
      <c r="E10" s="347">
        <f>'Detail 2009-04-03'!C28</f>
        <v>1.0533181818181818</v>
      </c>
      <c r="F10" s="350"/>
      <c r="G10" s="16"/>
      <c r="H10" s="28"/>
      <c r="I10" s="19"/>
      <c r="J10" s="13"/>
    </row>
    <row r="11" spans="1:10" ht="12.75">
      <c r="A11" s="349" t="s">
        <v>22</v>
      </c>
      <c r="B11" s="347">
        <f>SUM('Detail 2010-04-08'!E7:E10)</f>
        <v>0.48</v>
      </c>
      <c r="C11" s="348">
        <f t="shared" si="0"/>
        <v>0.25</v>
      </c>
      <c r="D11" s="347">
        <v>0.6</v>
      </c>
      <c r="E11" s="347">
        <v>2</v>
      </c>
      <c r="F11" s="347">
        <v>0</v>
      </c>
      <c r="G11" s="16"/>
      <c r="H11" s="28"/>
      <c r="I11" s="19" t="s">
        <v>366</v>
      </c>
      <c r="J11" s="13"/>
    </row>
    <row r="12" spans="1:10" ht="13.5" thickBot="1">
      <c r="A12" s="349" t="s">
        <v>23</v>
      </c>
      <c r="B12" s="347">
        <f>SUM('Detail 2010-04-08'!E11:E12)</f>
        <v>0.24</v>
      </c>
      <c r="C12" s="348">
        <f t="shared" si="0"/>
        <v>0.25</v>
      </c>
      <c r="D12" s="347">
        <v>0.3</v>
      </c>
      <c r="E12" s="347">
        <v>2.25</v>
      </c>
      <c r="F12" s="347">
        <v>0</v>
      </c>
      <c r="G12" s="16"/>
      <c r="H12" s="28"/>
      <c r="I12" s="19" t="s">
        <v>324</v>
      </c>
      <c r="J12" s="13"/>
    </row>
    <row r="13" spans="1:10" ht="13.5" thickBot="1">
      <c r="A13" s="351" t="s">
        <v>2</v>
      </c>
      <c r="B13" s="352">
        <f>SUM(B10:B12)</f>
        <v>10.585109653052632</v>
      </c>
      <c r="C13" s="353">
        <f t="shared" si="0"/>
        <v>0.05423845134102054</v>
      </c>
      <c r="D13" s="352">
        <v>11.159229607909094</v>
      </c>
      <c r="E13" s="354"/>
      <c r="F13" s="354"/>
      <c r="G13" s="16"/>
      <c r="H13" s="187"/>
      <c r="I13" s="15"/>
      <c r="J13" s="13"/>
    </row>
    <row r="14" spans="7:8" ht="13.5" thickTop="1">
      <c r="G14" s="16"/>
      <c r="H14" s="31"/>
    </row>
    <row r="15" ht="12.75">
      <c r="H15" s="31"/>
    </row>
    <row r="16" ht="12.75">
      <c r="A16" t="s">
        <v>35</v>
      </c>
    </row>
    <row r="17" ht="12.75">
      <c r="A17" t="s">
        <v>329</v>
      </c>
    </row>
    <row r="18" ht="12.75">
      <c r="A18" t="s">
        <v>360</v>
      </c>
    </row>
    <row r="19" ht="12.75">
      <c r="A19" t="s">
        <v>328</v>
      </c>
    </row>
    <row r="20" ht="12.75">
      <c r="A20" s="282" t="s">
        <v>269</v>
      </c>
    </row>
    <row r="21" ht="12.75">
      <c r="A21" s="282" t="s">
        <v>266</v>
      </c>
    </row>
    <row r="39" ht="12.75">
      <c r="D39" s="2"/>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AE56"/>
  <sheetViews>
    <sheetView zoomScaleSheetLayoutView="100" workbookViewId="0" topLeftCell="A1">
      <pane xSplit="1" ySplit="5" topLeftCell="F14" activePane="bottomRight" state="frozen"/>
      <selection pane="topLeft" activeCell="A1" sqref="A1"/>
      <selection pane="topRight" activeCell="B1" sqref="B1"/>
      <selection pane="bottomLeft" activeCell="A6" sqref="A6"/>
      <selection pane="bottomRight" activeCell="Q47" sqref="Q47"/>
    </sheetView>
  </sheetViews>
  <sheetFormatPr defaultColWidth="9.140625" defaultRowHeight="12.75" outlineLevelRow="1"/>
  <cols>
    <col min="1" max="1" width="23.28125" style="0" customWidth="1"/>
    <col min="2" max="2" width="9.7109375" style="0" customWidth="1"/>
    <col min="3" max="3" width="10.00390625" style="37" customWidth="1"/>
    <col min="4" max="4" width="9.710937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359"/>
      <c r="AC5" s="360"/>
    </row>
    <row r="6" spans="1:29" s="53" customFormat="1" ht="15.75">
      <c r="A6" s="72" t="s">
        <v>66</v>
      </c>
      <c r="B6" s="73"/>
      <c r="C6" s="73"/>
      <c r="D6" s="74" t="str">
        <f aca="true" t="shared" si="0" ref="D6:D19">IF($C6="Concept",0.25,IF($C6="Design",0.15,IF($C6="Prior",0.075,IF($C6="Fab",0.04,IF($C6="Flight",0.02," ")))))</f>
        <v> </v>
      </c>
      <c r="E6" s="119">
        <f>SUM(E7:E12)</f>
        <v>0.72</v>
      </c>
      <c r="F6" s="120">
        <f aca="true" t="shared" si="1" ref="F6:F19">(G6-E6)/E6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361"/>
      <c r="AC6" s="362"/>
    </row>
    <row r="7" spans="1:29" ht="12.75" outlineLevel="1">
      <c r="A7" s="64" t="s">
        <v>67</v>
      </c>
      <c r="B7" s="65" t="s">
        <v>13</v>
      </c>
      <c r="C7" s="30" t="s">
        <v>64</v>
      </c>
      <c r="D7" s="342">
        <f t="shared" si="0"/>
        <v>0.15</v>
      </c>
      <c r="E7" s="67">
        <f aca="true" t="shared" si="2" ref="E7:E12">I7</f>
        <v>0.12</v>
      </c>
      <c r="F7" s="68">
        <f t="shared" si="1"/>
        <v>0.25</v>
      </c>
      <c r="G7" s="118">
        <f aca="true" t="shared" si="3" ref="G7:G12">0.15</f>
        <v>0.15</v>
      </c>
      <c r="H7" s="70"/>
      <c r="I7" s="173">
        <f aca="true" t="shared" si="4" ref="I7:I12">J7*J$21+K7*K$21+L7*L$21+M7*M$21+N7*N$21+O7*O$21+P7*P$21+Q7*Q$21+R7*R$21+S7*S$21+T7*T$21+U7*U$21+V7*V$21+W7*W$21+X7*X$21+Y7*Y$21+Z7*Z$21+AA7*AA$21</f>
        <v>0.12</v>
      </c>
      <c r="J7" s="64"/>
      <c r="K7" s="56"/>
      <c r="L7" s="56"/>
      <c r="M7" s="56"/>
      <c r="N7" s="56"/>
      <c r="O7" s="56"/>
      <c r="P7" s="254"/>
      <c r="Q7" s="88"/>
      <c r="R7" s="86"/>
      <c r="S7" s="56"/>
      <c r="T7" s="56"/>
      <c r="U7" s="56"/>
      <c r="V7" s="57">
        <v>0.004</v>
      </c>
      <c r="W7" s="57"/>
      <c r="X7" s="57"/>
      <c r="Y7" s="57"/>
      <c r="Z7" s="57"/>
      <c r="AA7" s="155"/>
      <c r="AB7" s="363"/>
      <c r="AC7" s="364"/>
    </row>
    <row r="8" spans="1:29" ht="12.75" outlineLevel="1">
      <c r="A8" s="64" t="s">
        <v>68</v>
      </c>
      <c r="B8" s="65" t="s">
        <v>13</v>
      </c>
      <c r="C8" s="30" t="s">
        <v>64</v>
      </c>
      <c r="D8" s="342">
        <f t="shared" si="0"/>
        <v>0.15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363"/>
      <c r="AC8" s="364"/>
    </row>
    <row r="9" spans="1:29" ht="12.75" outlineLevel="1">
      <c r="A9" s="64" t="s">
        <v>69</v>
      </c>
      <c r="B9" s="65" t="s">
        <v>13</v>
      </c>
      <c r="C9" s="30" t="s">
        <v>64</v>
      </c>
      <c r="D9" s="342">
        <f t="shared" si="0"/>
        <v>0.15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363"/>
      <c r="AC9" s="364"/>
    </row>
    <row r="10" spans="1:29" ht="12.75" outlineLevel="1">
      <c r="A10" s="64" t="s">
        <v>70</v>
      </c>
      <c r="B10" s="65" t="s">
        <v>13</v>
      </c>
      <c r="C10" s="30" t="s">
        <v>64</v>
      </c>
      <c r="D10" s="342">
        <f t="shared" si="0"/>
        <v>0.15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363"/>
      <c r="AC10" s="364"/>
    </row>
    <row r="11" spans="1:29" ht="12.75" outlineLevel="1">
      <c r="A11" s="64" t="s">
        <v>71</v>
      </c>
      <c r="B11" s="65" t="s">
        <v>13</v>
      </c>
      <c r="C11" s="30" t="s">
        <v>64</v>
      </c>
      <c r="D11" s="342">
        <f t="shared" si="0"/>
        <v>0.15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363"/>
      <c r="AC11" s="364"/>
    </row>
    <row r="12" spans="1:29" ht="12.75" outlineLevel="1">
      <c r="A12" s="64" t="s">
        <v>72</v>
      </c>
      <c r="B12" s="65" t="s">
        <v>13</v>
      </c>
      <c r="C12" s="30" t="s">
        <v>64</v>
      </c>
      <c r="D12" s="342">
        <f t="shared" si="0"/>
        <v>0.15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57">
        <v>0.004</v>
      </c>
      <c r="AB12" s="363"/>
      <c r="AC12" s="364"/>
    </row>
    <row r="13" spans="1:29" s="53" customFormat="1" ht="15.75" outlineLevel="1">
      <c r="A13" s="72" t="s">
        <v>73</v>
      </c>
      <c r="B13" s="73"/>
      <c r="C13" s="73"/>
      <c r="D13" s="343" t="str">
        <f t="shared" si="0"/>
        <v> </v>
      </c>
      <c r="E13" s="119">
        <f>E14+E15+E16+E18+E19</f>
        <v>9.865109653052631</v>
      </c>
      <c r="F13" s="120">
        <f t="shared" si="1"/>
        <v>0.03986553224227708</v>
      </c>
      <c r="G13" s="121">
        <f>SUM(G14:G19)</f>
        <v>10.2583875</v>
      </c>
      <c r="H13" s="61"/>
      <c r="I13" s="174"/>
      <c r="J13" s="156"/>
      <c r="K13" s="51"/>
      <c r="L13" s="51"/>
      <c r="M13" s="51"/>
      <c r="N13" s="51"/>
      <c r="O13" s="51"/>
      <c r="P13" s="260"/>
      <c r="Q13" s="265"/>
      <c r="R13" s="51"/>
      <c r="S13" s="51"/>
      <c r="T13" s="51"/>
      <c r="U13" s="51"/>
      <c r="V13" s="51"/>
      <c r="W13" s="51"/>
      <c r="X13" s="51"/>
      <c r="Y13" s="51"/>
      <c r="Z13" s="51"/>
      <c r="AA13" s="157"/>
      <c r="AB13" s="361"/>
      <c r="AC13" s="362"/>
    </row>
    <row r="14" spans="1:31" ht="12.75" outlineLevel="1">
      <c r="A14" s="64" t="s">
        <v>361</v>
      </c>
      <c r="B14" s="76" t="s">
        <v>13</v>
      </c>
      <c r="C14" s="30" t="s">
        <v>64</v>
      </c>
      <c r="D14" s="344">
        <f t="shared" si="0"/>
        <v>0.15</v>
      </c>
      <c r="E14" s="70">
        <f aca="true" t="shared" si="5" ref="E14:E19">I14</f>
        <v>1.504536</v>
      </c>
      <c r="F14" s="68">
        <f t="shared" si="1"/>
        <v>0.21525008374674964</v>
      </c>
      <c r="G14" s="118">
        <v>1.8283874999999998</v>
      </c>
      <c r="H14" s="70"/>
      <c r="I14" s="173">
        <f aca="true" t="shared" si="6" ref="I14:I19">J14*J$21+K14*K$21+L14*L$21+M14*M$21+N14*N$21+O14*O$21+P14*P$21+Q14*Q$21+R14*R$21+S14*S$21+T14*T$21+U14*U$21+V14*V$21+W14*W$21+X14*X$21+Y14*Y$21+Z14*Z$21+AA14*AA$21</f>
        <v>1.504536</v>
      </c>
      <c r="J14" s="159">
        <v>0.006</v>
      </c>
      <c r="K14" s="57">
        <f>DFB_Typ_2008_07_07!T33/1000</f>
        <v>0.19</v>
      </c>
      <c r="L14" s="57">
        <f>0.08276</f>
        <v>0.08276</v>
      </c>
      <c r="M14" s="57">
        <f>0.049</f>
        <v>0.049</v>
      </c>
      <c r="N14" s="144">
        <f>0.065</f>
        <v>0.065</v>
      </c>
      <c r="O14" s="207">
        <f>0.01375</f>
        <v>0.01375</v>
      </c>
      <c r="P14" s="144">
        <f>0.01271</f>
        <v>0.01271</v>
      </c>
      <c r="Q14" s="266"/>
      <c r="R14" s="143"/>
      <c r="S14" s="143"/>
      <c r="T14" s="57"/>
      <c r="U14" s="57"/>
      <c r="V14" s="57"/>
      <c r="W14" s="57"/>
      <c r="X14" s="57"/>
      <c r="Y14" s="57"/>
      <c r="Z14" s="57"/>
      <c r="AA14" s="155"/>
      <c r="AB14" s="365"/>
      <c r="AC14" s="366"/>
      <c r="AE14" t="s">
        <v>355</v>
      </c>
    </row>
    <row r="15" spans="1:31" ht="12.75" outlineLevel="1">
      <c r="A15" s="64" t="s">
        <v>75</v>
      </c>
      <c r="B15" s="65" t="s">
        <v>13</v>
      </c>
      <c r="C15" s="30" t="s">
        <v>64</v>
      </c>
      <c r="D15" s="342">
        <f t="shared" si="0"/>
        <v>0.15</v>
      </c>
      <c r="E15" s="67">
        <f t="shared" si="5"/>
        <v>1.9029999999999996</v>
      </c>
      <c r="F15" s="68">
        <f t="shared" si="1"/>
        <v>-0.027850761954807936</v>
      </c>
      <c r="G15" s="118">
        <v>1.85</v>
      </c>
      <c r="H15" s="70"/>
      <c r="I15" s="173">
        <f t="shared" si="6"/>
        <v>1.9029999999999996</v>
      </c>
      <c r="J15" s="159"/>
      <c r="K15" s="57"/>
      <c r="L15" s="57"/>
      <c r="M15" s="57"/>
      <c r="N15" s="57"/>
      <c r="O15" s="182"/>
      <c r="P15" s="261"/>
      <c r="Q15" s="267">
        <v>0.003</v>
      </c>
      <c r="R15" s="57">
        <v>0.063</v>
      </c>
      <c r="S15" s="57">
        <v>0.052</v>
      </c>
      <c r="T15" s="326">
        <v>0.0013</v>
      </c>
      <c r="U15" s="326">
        <v>0.0003</v>
      </c>
      <c r="V15" s="57">
        <v>0.0021</v>
      </c>
      <c r="W15" s="57">
        <v>0.0021</v>
      </c>
      <c r="X15" s="57">
        <v>0.0021</v>
      </c>
      <c r="Y15" s="57">
        <v>0.0021</v>
      </c>
      <c r="Z15" s="57">
        <v>0.0021</v>
      </c>
      <c r="AA15" s="57">
        <v>0.0021</v>
      </c>
      <c r="AB15" s="365"/>
      <c r="AC15" s="366"/>
      <c r="AE15" t="s">
        <v>356</v>
      </c>
    </row>
    <row r="16" spans="1:29" ht="12.75" outlineLevel="1">
      <c r="A16" s="64" t="s">
        <v>76</v>
      </c>
      <c r="B16" s="65" t="s">
        <v>13</v>
      </c>
      <c r="C16" s="30" t="s">
        <v>65</v>
      </c>
      <c r="D16" s="342">
        <f t="shared" si="0"/>
        <v>0.25</v>
      </c>
      <c r="E16" s="67">
        <f t="shared" si="5"/>
        <v>0.4875</v>
      </c>
      <c r="F16" s="68">
        <f t="shared" si="1"/>
        <v>0.25000000000000006</v>
      </c>
      <c r="G16" s="118">
        <v>0.609375</v>
      </c>
      <c r="H16" s="70"/>
      <c r="I16" s="173">
        <f t="shared" si="6"/>
        <v>0.4875</v>
      </c>
      <c r="J16" s="159"/>
      <c r="K16" s="57"/>
      <c r="L16" s="57"/>
      <c r="M16" s="57">
        <v>0.0025</v>
      </c>
      <c r="N16" s="57">
        <v>0.005</v>
      </c>
      <c r="O16" s="182">
        <v>0.025</v>
      </c>
      <c r="P16" s="261">
        <v>0.02</v>
      </c>
      <c r="Q16" s="267"/>
      <c r="R16" s="143"/>
      <c r="S16" s="143"/>
      <c r="T16" s="57"/>
      <c r="U16" s="57"/>
      <c r="V16" s="57"/>
      <c r="W16" s="57"/>
      <c r="X16" s="57"/>
      <c r="Y16" s="57"/>
      <c r="Z16" s="57"/>
      <c r="AA16" s="155"/>
      <c r="AB16" s="365"/>
      <c r="AC16" s="366"/>
    </row>
    <row r="17" spans="1:29" ht="12.75" hidden="1" outlineLevel="1">
      <c r="A17" s="64" t="s">
        <v>85</v>
      </c>
      <c r="B17" s="65"/>
      <c r="C17" s="30" t="s">
        <v>65</v>
      </c>
      <c r="D17" s="342">
        <f t="shared" si="0"/>
        <v>0.25</v>
      </c>
      <c r="E17" s="67">
        <f t="shared" si="5"/>
        <v>0.07200000000000001</v>
      </c>
      <c r="F17" s="68">
        <f t="shared" si="1"/>
        <v>-1</v>
      </c>
      <c r="G17" s="118"/>
      <c r="H17" s="70"/>
      <c r="I17" s="173">
        <f t="shared" si="6"/>
        <v>0.07200000000000001</v>
      </c>
      <c r="J17" s="159"/>
      <c r="K17" s="57"/>
      <c r="L17" s="323">
        <f>L48*L27</f>
        <v>0.02</v>
      </c>
      <c r="M17" s="57"/>
      <c r="N17" s="57"/>
      <c r="O17" s="57"/>
      <c r="P17" s="144"/>
      <c r="Q17" s="266"/>
      <c r="R17" s="57"/>
      <c r="S17" s="57"/>
      <c r="T17" s="57"/>
      <c r="U17" s="57"/>
      <c r="V17" s="57"/>
      <c r="W17" s="57"/>
      <c r="X17" s="57"/>
      <c r="Y17" s="57"/>
      <c r="Z17" s="57"/>
      <c r="AA17" s="155"/>
      <c r="AB17" s="365"/>
      <c r="AC17" s="366"/>
    </row>
    <row r="18" spans="1:31" ht="12.75" outlineLevel="1">
      <c r="A18" s="64" t="s">
        <v>77</v>
      </c>
      <c r="B18" s="65" t="s">
        <v>13</v>
      </c>
      <c r="C18" s="30" t="s">
        <v>64</v>
      </c>
      <c r="D18" s="342">
        <f t="shared" si="0"/>
        <v>0.15</v>
      </c>
      <c r="E18" s="67">
        <f t="shared" si="5"/>
        <v>1.2375791999999999</v>
      </c>
      <c r="F18" s="68">
        <f t="shared" si="1"/>
        <v>0.6887808069172462</v>
      </c>
      <c r="G18" s="118">
        <v>2.09</v>
      </c>
      <c r="H18" s="70"/>
      <c r="I18" s="173">
        <f t="shared" si="6"/>
        <v>1.2375791999999999</v>
      </c>
      <c r="J18" s="159">
        <f>0.004*1.1</f>
        <v>0.0044</v>
      </c>
      <c r="K18" s="57">
        <f>DCB_2008_08_18!$H$24*(1+L28)/1000</f>
        <v>0.250044</v>
      </c>
      <c r="L18" s="57">
        <f>0.135+L17</f>
        <v>0.155</v>
      </c>
      <c r="M18" s="57">
        <f>0.015*1.1</f>
        <v>0.0165</v>
      </c>
      <c r="N18" s="144">
        <f>0.01*1.1</f>
        <v>0.011000000000000001</v>
      </c>
      <c r="O18" s="185">
        <v>0.0035</v>
      </c>
      <c r="P18" s="115">
        <v>0.0035</v>
      </c>
      <c r="Q18" s="266"/>
      <c r="R18" s="57"/>
      <c r="S18" s="57"/>
      <c r="T18" s="57"/>
      <c r="U18" s="57"/>
      <c r="V18" s="57"/>
      <c r="W18" s="57"/>
      <c r="X18" s="57"/>
      <c r="Y18" s="57"/>
      <c r="Z18" s="57"/>
      <c r="AA18" s="155"/>
      <c r="AB18" s="365"/>
      <c r="AC18" s="366"/>
      <c r="AE18" t="s">
        <v>355</v>
      </c>
    </row>
    <row r="19" spans="1:29" ht="12.75" outlineLevel="1">
      <c r="A19" s="80" t="s">
        <v>78</v>
      </c>
      <c r="B19" s="81" t="s">
        <v>13</v>
      </c>
      <c r="C19" s="330" t="s">
        <v>64</v>
      </c>
      <c r="D19" s="345">
        <f t="shared" si="0"/>
        <v>0.15</v>
      </c>
      <c r="E19" s="84">
        <f t="shared" si="5"/>
        <v>4.732494453052631</v>
      </c>
      <c r="F19" s="135">
        <f t="shared" si="1"/>
        <v>-0.1800043215059965</v>
      </c>
      <c r="G19" s="136">
        <f>4.49-G16</f>
        <v>3.880625</v>
      </c>
      <c r="H19" s="70"/>
      <c r="I19" s="173">
        <f t="shared" si="6"/>
        <v>4.732494453052631</v>
      </c>
      <c r="J19" s="271">
        <f>SUM(J6:J18)*$L$24</f>
        <v>0.006864</v>
      </c>
      <c r="K19" s="272">
        <f>SUM(K6:K18)*$L$24</f>
        <v>0.29042904</v>
      </c>
      <c r="L19" s="142">
        <f>(L14+L18)*$L$24</f>
        <v>0.1569216</v>
      </c>
      <c r="M19" s="207">
        <f aca="true" t="shared" si="7" ref="M19:S19">SUM(M6:M18)*$L$24</f>
        <v>0.04488</v>
      </c>
      <c r="N19" s="207">
        <f t="shared" si="7"/>
        <v>0.05346000000000001</v>
      </c>
      <c r="O19" s="207">
        <f t="shared" si="7"/>
        <v>0.027885000000000004</v>
      </c>
      <c r="P19" s="273">
        <f t="shared" si="7"/>
        <v>0.023898600000000006</v>
      </c>
      <c r="Q19" s="271">
        <f t="shared" si="7"/>
        <v>0.00198</v>
      </c>
      <c r="R19" s="207">
        <f t="shared" si="7"/>
        <v>0.04158</v>
      </c>
      <c r="S19" s="207">
        <f t="shared" si="7"/>
        <v>0.03432</v>
      </c>
      <c r="T19" s="327">
        <f>SUM(T6:T18)*$W$24+$Z$25/T21</f>
        <v>0.0031654970760233918</v>
      </c>
      <c r="U19" s="327">
        <f>SUM(U6:U18)*$W$24+$Z$25/U21</f>
        <v>0.001756140350877193</v>
      </c>
      <c r="V19" s="207">
        <f aca="true" t="shared" si="8" ref="V19:AA19">SUM(V6:V18)*$L$24</f>
        <v>0.004026</v>
      </c>
      <c r="W19" s="207">
        <f t="shared" si="8"/>
        <v>0.004026</v>
      </c>
      <c r="X19" s="207">
        <f t="shared" si="8"/>
        <v>0.004026</v>
      </c>
      <c r="Y19" s="207">
        <f t="shared" si="8"/>
        <v>0.004026</v>
      </c>
      <c r="Z19" s="207">
        <f t="shared" si="8"/>
        <v>0.004026</v>
      </c>
      <c r="AA19" s="274">
        <f t="shared" si="8"/>
        <v>0.004026</v>
      </c>
      <c r="AB19" s="149"/>
      <c r="AC19" s="87"/>
    </row>
    <row r="20" spans="1:29" ht="12.75">
      <c r="A20" s="88"/>
      <c r="B20" s="39"/>
      <c r="C20" s="66"/>
      <c r="D20" s="59"/>
      <c r="E20" s="67"/>
      <c r="F20" s="68"/>
      <c r="G20" s="69"/>
      <c r="H20" s="70"/>
      <c r="I20" s="175"/>
      <c r="J20" s="162"/>
      <c r="K20" s="89"/>
      <c r="L20" s="89"/>
      <c r="M20" s="89"/>
      <c r="N20" s="89"/>
      <c r="O20" s="89"/>
      <c r="P20" s="89"/>
      <c r="Q20" s="162"/>
      <c r="R20" s="257"/>
      <c r="S20" s="89"/>
      <c r="T20" s="89"/>
      <c r="U20" s="89"/>
      <c r="V20" s="89"/>
      <c r="W20" s="89"/>
      <c r="X20" s="89"/>
      <c r="Y20" s="89"/>
      <c r="Z20" s="89"/>
      <c r="AA20" s="163"/>
      <c r="AB20" s="90"/>
      <c r="AC20" s="90"/>
    </row>
    <row r="21" spans="1:29" s="53" customFormat="1" ht="16.5" thickBot="1">
      <c r="A21" s="91" t="s">
        <v>79</v>
      </c>
      <c r="B21" s="92"/>
      <c r="C21" s="92"/>
      <c r="D21" s="238"/>
      <c r="E21" s="239">
        <f>SUM(E13+E6)</f>
        <v>10.585109653052632</v>
      </c>
      <c r="F21" s="240">
        <f>(G21-E21)/E21</f>
        <v>0.054158895442527714</v>
      </c>
      <c r="G21" s="241">
        <f>SUM(G13+G6)</f>
        <v>11.1583875</v>
      </c>
      <c r="H21" s="94"/>
      <c r="I21" s="176">
        <f>SUM(I6:I12)+SUM(I14:I16)+SUM(I18:I19)</f>
        <v>10.58510965305263</v>
      </c>
      <c r="J21" s="164">
        <v>5</v>
      </c>
      <c r="K21" s="97">
        <v>1.8</v>
      </c>
      <c r="L21" s="97">
        <v>3.6</v>
      </c>
      <c r="M21" s="97">
        <v>5</v>
      </c>
      <c r="N21" s="97">
        <v>5</v>
      </c>
      <c r="O21" s="97">
        <v>10</v>
      </c>
      <c r="P21" s="262">
        <v>10</v>
      </c>
      <c r="Q21" s="268">
        <v>5</v>
      </c>
      <c r="R21" s="97">
        <v>10</v>
      </c>
      <c r="S21" s="97">
        <v>10</v>
      </c>
      <c r="T21" s="97">
        <v>225</v>
      </c>
      <c r="U21" s="97">
        <v>225</v>
      </c>
      <c r="V21" s="97">
        <v>30</v>
      </c>
      <c r="W21" s="97">
        <v>30</v>
      </c>
      <c r="X21" s="97">
        <v>30</v>
      </c>
      <c r="Y21" s="97">
        <v>30</v>
      </c>
      <c r="Z21" s="97">
        <v>30</v>
      </c>
      <c r="AA21" s="165">
        <v>30</v>
      </c>
      <c r="AB21" s="150" t="s">
        <v>80</v>
      </c>
      <c r="AC21" s="99"/>
    </row>
    <row r="22" spans="1:29" s="53" customFormat="1" ht="16.5" thickBot="1">
      <c r="A22" s="100"/>
      <c r="B22" s="63"/>
      <c r="C22" s="101"/>
      <c r="D22" s="242" t="s">
        <v>252</v>
      </c>
      <c r="E22" s="244">
        <f>I52</f>
        <v>17.329458824059714</v>
      </c>
      <c r="F22" s="331">
        <f>(G22-E22)/E22</f>
        <v>0.33720275025711033</v>
      </c>
      <c r="G22" s="245">
        <v>23.173</v>
      </c>
      <c r="H22" s="94"/>
      <c r="I22" s="177" t="s">
        <v>258</v>
      </c>
      <c r="J22" s="166">
        <f>SUM(J6:J12)+SUM(J14:J18)</f>
        <v>0.0104</v>
      </c>
      <c r="K22" s="104">
        <f>SUM(K6:K12)+SUM(K14:K18)</f>
        <v>0.440044</v>
      </c>
      <c r="L22" s="104">
        <f>L14+L18</f>
        <v>0.23776</v>
      </c>
      <c r="M22" s="104">
        <f aca="true" t="shared" si="9" ref="M22:AA22">SUM(M6:M12)+SUM(M14:M18)</f>
        <v>0.068</v>
      </c>
      <c r="N22" s="104">
        <f t="shared" si="9"/>
        <v>0.081</v>
      </c>
      <c r="O22" s="104">
        <f t="shared" si="9"/>
        <v>0.04225</v>
      </c>
      <c r="P22" s="116">
        <f t="shared" si="9"/>
        <v>0.036210000000000006</v>
      </c>
      <c r="Q22" s="269">
        <f t="shared" si="9"/>
        <v>0.003</v>
      </c>
      <c r="R22" s="258">
        <f t="shared" si="9"/>
        <v>0.063</v>
      </c>
      <c r="S22" s="104">
        <f t="shared" si="9"/>
        <v>0.052</v>
      </c>
      <c r="T22" s="328">
        <f t="shared" si="9"/>
        <v>0.0013</v>
      </c>
      <c r="U22" s="328">
        <f t="shared" si="9"/>
        <v>0.0003</v>
      </c>
      <c r="V22" s="104">
        <f t="shared" si="9"/>
        <v>0.0060999999999999995</v>
      </c>
      <c r="W22" s="104">
        <f t="shared" si="9"/>
        <v>0.0060999999999999995</v>
      </c>
      <c r="X22" s="104">
        <f t="shared" si="9"/>
        <v>0.0060999999999999995</v>
      </c>
      <c r="Y22" s="104">
        <f t="shared" si="9"/>
        <v>0.0060999999999999995</v>
      </c>
      <c r="Z22" s="104">
        <f t="shared" si="9"/>
        <v>0.0060999999999999995</v>
      </c>
      <c r="AA22" s="167">
        <f t="shared" si="9"/>
        <v>0.0060999999999999995</v>
      </c>
      <c r="AB22" s="150" t="s">
        <v>81</v>
      </c>
      <c r="AC22" s="99"/>
    </row>
    <row r="23" spans="1:29" s="53" customFormat="1" ht="16.5" thickBot="1">
      <c r="A23"/>
      <c r="B23" s="66"/>
      <c r="H23" s="105"/>
      <c r="I23" s="178"/>
      <c r="J23" s="168">
        <f aca="true" t="shared" si="10" ref="J23:AA23">J21*J22</f>
        <v>0.052</v>
      </c>
      <c r="K23" s="181">
        <f t="shared" si="10"/>
        <v>0.7920792</v>
      </c>
      <c r="L23" s="169">
        <f t="shared" si="10"/>
        <v>0.855936</v>
      </c>
      <c r="M23" s="169">
        <f t="shared" si="10"/>
        <v>0.34</v>
      </c>
      <c r="N23" s="169">
        <f t="shared" si="10"/>
        <v>0.405</v>
      </c>
      <c r="O23" s="169">
        <f t="shared" si="10"/>
        <v>0.42250000000000004</v>
      </c>
      <c r="P23" s="263">
        <f t="shared" si="10"/>
        <v>0.3621000000000001</v>
      </c>
      <c r="Q23" s="270">
        <f t="shared" si="10"/>
        <v>0.015</v>
      </c>
      <c r="R23" s="169">
        <f t="shared" si="10"/>
        <v>0.63</v>
      </c>
      <c r="S23" s="169">
        <f t="shared" si="10"/>
        <v>0.52</v>
      </c>
      <c r="T23" s="169">
        <f t="shared" si="10"/>
        <v>0.2925</v>
      </c>
      <c r="U23" s="169">
        <f t="shared" si="10"/>
        <v>0.06749999999999999</v>
      </c>
      <c r="V23" s="169">
        <f t="shared" si="10"/>
        <v>0.183</v>
      </c>
      <c r="W23" s="169">
        <f t="shared" si="10"/>
        <v>0.183</v>
      </c>
      <c r="X23" s="169">
        <f t="shared" si="10"/>
        <v>0.183</v>
      </c>
      <c r="Y23" s="169">
        <f t="shared" si="10"/>
        <v>0.183</v>
      </c>
      <c r="Z23" s="169">
        <f t="shared" si="10"/>
        <v>0.183</v>
      </c>
      <c r="AA23" s="170">
        <f t="shared" si="10"/>
        <v>0.183</v>
      </c>
      <c r="AB23" s="151" t="s">
        <v>4</v>
      </c>
      <c r="AC23" s="110"/>
    </row>
    <row r="24" spans="1:29" s="53" customFormat="1" ht="15.75" outlineLevel="1">
      <c r="A24"/>
      <c r="B24" s="39"/>
      <c r="C24" s="63"/>
      <c r="D24" s="63"/>
      <c r="E24" s="112"/>
      <c r="F24" s="358"/>
      <c r="G24" s="112"/>
      <c r="H24" s="94"/>
      <c r="I24" s="1" t="s">
        <v>82</v>
      </c>
      <c r="L24" s="112">
        <v>0.66</v>
      </c>
      <c r="M24" s="113"/>
      <c r="N24" s="79" t="s">
        <v>261</v>
      </c>
      <c r="P24" s="79">
        <f>1/(1+L24)</f>
        <v>0.6024096385542168</v>
      </c>
      <c r="Q24" s="53" t="s">
        <v>262</v>
      </c>
      <c r="S24" s="1" t="s">
        <v>326</v>
      </c>
      <c r="T24" s="319"/>
      <c r="U24" s="319"/>
      <c r="V24" s="319"/>
      <c r="W24" s="1">
        <f>(1/Z24-Z25/(T21*0.006)-1)</f>
        <v>1.409356725146199</v>
      </c>
      <c r="X24" s="79" t="s">
        <v>261</v>
      </c>
      <c r="Z24" s="318">
        <v>0.38</v>
      </c>
      <c r="AA24" s="53" t="s">
        <v>262</v>
      </c>
      <c r="AC24" s="71"/>
    </row>
    <row r="25" spans="2:27" ht="12.75" outlineLevel="1">
      <c r="B25" s="39"/>
      <c r="C25" s="65"/>
      <c r="D25" s="114"/>
      <c r="E25" s="115"/>
      <c r="F25" s="70"/>
      <c r="G25" s="116"/>
      <c r="I25" s="113" t="s">
        <v>125</v>
      </c>
      <c r="O25" s="138"/>
      <c r="X25" t="s">
        <v>353</v>
      </c>
      <c r="Z25">
        <v>0.3</v>
      </c>
      <c r="AA25" t="s">
        <v>44</v>
      </c>
    </row>
    <row r="26" spans="1:28" ht="38.25" outlineLevel="1">
      <c r="A26" s="133" t="s">
        <v>107</v>
      </c>
      <c r="B26" s="134" t="s">
        <v>108</v>
      </c>
      <c r="C26" s="134" t="s">
        <v>112</v>
      </c>
      <c r="D26" s="418" t="s">
        <v>101</v>
      </c>
      <c r="E26" s="390"/>
      <c r="F26" s="390"/>
      <c r="G26" s="390"/>
      <c r="H26" s="390"/>
      <c r="I26" s="117"/>
      <c r="M26" s="1"/>
      <c r="N26" s="1"/>
      <c r="AB26" s="111"/>
    </row>
    <row r="27" spans="1:13" ht="12.75" outlineLevel="1">
      <c r="A27" s="20" t="s">
        <v>96</v>
      </c>
      <c r="B27" s="21">
        <f>G21</f>
        <v>11.1583875</v>
      </c>
      <c r="C27" s="131">
        <f>G22/B32</f>
        <v>1.0533181818181818</v>
      </c>
      <c r="D27" s="450" t="s">
        <v>253</v>
      </c>
      <c r="E27" s="450"/>
      <c r="F27" s="450"/>
      <c r="G27" s="450"/>
      <c r="H27" s="450"/>
      <c r="I27"/>
      <c r="L27" s="324">
        <v>0.5</v>
      </c>
      <c r="M27" t="s">
        <v>346</v>
      </c>
    </row>
    <row r="28" spans="1:21" ht="12.75" outlineLevel="1">
      <c r="A28" s="132" t="s">
        <v>313</v>
      </c>
      <c r="B28" s="21">
        <v>10</v>
      </c>
      <c r="C28" s="131">
        <f>35/F38</f>
        <v>0.2857142857142857</v>
      </c>
      <c r="D28" s="449" t="s">
        <v>333</v>
      </c>
      <c r="E28" s="450"/>
      <c r="F28" s="450"/>
      <c r="G28" s="450"/>
      <c r="H28" s="450"/>
      <c r="L28" s="324">
        <v>0.34</v>
      </c>
      <c r="M28" t="s">
        <v>347</v>
      </c>
      <c r="U28" s="113"/>
    </row>
    <row r="29" spans="1:9" ht="12.75" outlineLevel="1">
      <c r="A29" s="132" t="s">
        <v>99</v>
      </c>
      <c r="B29" s="21">
        <f>C37*B33</f>
        <v>11.804545454545453</v>
      </c>
      <c r="C29" s="21">
        <f>MAX(C36,C39)</f>
        <v>1.9125683060109289</v>
      </c>
      <c r="D29" s="449" t="s">
        <v>115</v>
      </c>
      <c r="E29" s="450"/>
      <c r="F29" s="450"/>
      <c r="G29" s="450"/>
      <c r="H29" s="450"/>
      <c r="I29" s="79"/>
    </row>
    <row r="30" spans="1:13" ht="12.75" outlineLevel="1">
      <c r="A30" s="132" t="s">
        <v>100</v>
      </c>
      <c r="B30" s="21">
        <f>C37*B33</f>
        <v>11.804545454545453</v>
      </c>
      <c r="C30" s="21">
        <f>MAX(C35,C38,C39)</f>
        <v>2.2580645161290325</v>
      </c>
      <c r="D30" s="449" t="s">
        <v>116</v>
      </c>
      <c r="E30" s="450"/>
      <c r="F30" s="450"/>
      <c r="G30" s="450"/>
      <c r="H30" s="450"/>
      <c r="I30" s="79"/>
      <c r="M30" s="39"/>
    </row>
    <row r="31" ht="12.75" outlineLevel="1">
      <c r="M31" s="39"/>
    </row>
    <row r="32" spans="1:3" ht="12.75" outlineLevel="1">
      <c r="A32" s="113" t="s">
        <v>103</v>
      </c>
      <c r="B32" s="39">
        <v>22</v>
      </c>
      <c r="C32" s="79" t="s">
        <v>105</v>
      </c>
    </row>
    <row r="33" spans="1:9" ht="12.75" customHeight="1" outlineLevel="1">
      <c r="A33" s="113" t="s">
        <v>104</v>
      </c>
      <c r="B33">
        <v>35</v>
      </c>
      <c r="C33" t="s">
        <v>105</v>
      </c>
      <c r="I33" s="113" t="s">
        <v>250</v>
      </c>
    </row>
    <row r="34" spans="1:29" ht="13.5" customHeight="1" outlineLevel="1">
      <c r="A34" s="113"/>
      <c r="C34"/>
      <c r="I34" s="427" t="s">
        <v>39</v>
      </c>
      <c r="J34" s="429" t="s">
        <v>40</v>
      </c>
      <c r="K34" s="429"/>
      <c r="L34" s="430"/>
      <c r="M34" s="430"/>
      <c r="N34" s="430"/>
      <c r="O34" s="430"/>
      <c r="P34" s="430"/>
      <c r="Q34" s="430"/>
      <c r="R34" s="430"/>
      <c r="S34" s="430"/>
      <c r="T34" s="430"/>
      <c r="U34" s="430"/>
      <c r="V34" s="430"/>
      <c r="W34" s="430"/>
      <c r="X34" s="430"/>
      <c r="Y34" s="430"/>
      <c r="Z34" s="430"/>
      <c r="AA34" s="430"/>
      <c r="AB34" s="430"/>
      <c r="AC34" s="431"/>
    </row>
    <row r="35" spans="1:29" ht="13.5" outlineLevel="1" thickBot="1">
      <c r="A35" t="s">
        <v>273</v>
      </c>
      <c r="B35" s="2"/>
      <c r="C35" s="130">
        <f>2*B33/F35</f>
        <v>2.2580645161290325</v>
      </c>
      <c r="D35" s="127" t="s">
        <v>111</v>
      </c>
      <c r="F35" s="129">
        <v>31</v>
      </c>
      <c r="G35" s="113" t="s">
        <v>102</v>
      </c>
      <c r="I35" s="428"/>
      <c r="J35" s="432"/>
      <c r="K35" s="432"/>
      <c r="L35" s="432"/>
      <c r="M35" s="432"/>
      <c r="N35" s="432"/>
      <c r="O35" s="432"/>
      <c r="P35" s="432"/>
      <c r="Q35" s="432"/>
      <c r="R35" s="432"/>
      <c r="S35" s="432"/>
      <c r="T35" s="432"/>
      <c r="U35" s="432"/>
      <c r="V35" s="432"/>
      <c r="W35" s="432"/>
      <c r="X35" s="432"/>
      <c r="Y35" s="432"/>
      <c r="Z35" s="432"/>
      <c r="AA35" s="432"/>
      <c r="AB35" s="433"/>
      <c r="AC35" s="434"/>
    </row>
    <row r="36" spans="1:29" ht="12.75" outlineLevel="1">
      <c r="A36" s="79" t="s">
        <v>271</v>
      </c>
      <c r="B36" s="2"/>
      <c r="C36" s="128">
        <f>B33/F36</f>
        <v>1.9125683060109289</v>
      </c>
      <c r="D36" s="127" t="s">
        <v>111</v>
      </c>
      <c r="E36" s="113"/>
      <c r="F36" s="129">
        <f>36.6/2</f>
        <v>18.3</v>
      </c>
      <c r="G36" s="113" t="s">
        <v>102</v>
      </c>
      <c r="I36" s="171" t="s">
        <v>46</v>
      </c>
      <c r="J36" s="152" t="str">
        <f aca="true" t="shared" si="11" ref="J36:AA36">J5</f>
        <v>+5V D</v>
      </c>
      <c r="K36" s="152" t="str">
        <f t="shared" si="11"/>
        <v> +1.8V D</v>
      </c>
      <c r="L36" s="152" t="str">
        <f t="shared" si="11"/>
        <v>+3.6D (1)</v>
      </c>
      <c r="M36" s="152" t="str">
        <f t="shared" si="11"/>
        <v>+5V A</v>
      </c>
      <c r="N36" s="152" t="str">
        <f t="shared" si="11"/>
        <v>-5V A</v>
      </c>
      <c r="O36" s="152" t="str">
        <f t="shared" si="11"/>
        <v>+10VA</v>
      </c>
      <c r="P36" s="152" t="str">
        <f t="shared" si="11"/>
        <v>-10VA</v>
      </c>
      <c r="Q36" s="152" t="str">
        <f t="shared" si="11"/>
        <v>+5V D</v>
      </c>
      <c r="R36" s="152" t="str">
        <f t="shared" si="11"/>
        <v>+10V A</v>
      </c>
      <c r="S36" s="152" t="str">
        <f t="shared" si="11"/>
        <v>-10V A</v>
      </c>
      <c r="T36" s="152" t="str">
        <f t="shared" si="11"/>
        <v>+225V</v>
      </c>
      <c r="U36" s="152" t="str">
        <f t="shared" si="11"/>
        <v>-225V</v>
      </c>
      <c r="V36" s="152" t="str">
        <f t="shared" si="11"/>
        <v>+/-15F1</v>
      </c>
      <c r="W36" s="152" t="str">
        <f t="shared" si="11"/>
        <v>+/-15F2</v>
      </c>
      <c r="X36" s="152" t="str">
        <f t="shared" si="11"/>
        <v>+/-15F3</v>
      </c>
      <c r="Y36" s="152" t="str">
        <f t="shared" si="11"/>
        <v>+/-15F4</v>
      </c>
      <c r="Z36" s="152" t="str">
        <f t="shared" si="11"/>
        <v>+/-10F5</v>
      </c>
      <c r="AA36" s="152" t="str">
        <f t="shared" si="11"/>
        <v>+/-15F6</v>
      </c>
      <c r="AB36" s="145" t="s">
        <v>62</v>
      </c>
      <c r="AC36" s="50" t="s">
        <v>63</v>
      </c>
    </row>
    <row r="37" spans="1:29" ht="15" outlineLevel="1">
      <c r="A37" s="79" t="s">
        <v>109</v>
      </c>
      <c r="B37" s="124"/>
      <c r="C37" s="128">
        <f>B33/F37</f>
        <v>0.3372727272727272</v>
      </c>
      <c r="D37" s="127" t="s">
        <v>111</v>
      </c>
      <c r="E37" s="113"/>
      <c r="F37" s="126">
        <f>22/0.212</f>
        <v>103.77358490566039</v>
      </c>
      <c r="G37" s="113" t="s">
        <v>102</v>
      </c>
      <c r="I37" s="172"/>
      <c r="J37" s="426" t="s">
        <v>128</v>
      </c>
      <c r="K37" s="424"/>
      <c r="L37" s="424"/>
      <c r="M37" s="424"/>
      <c r="N37" s="424"/>
      <c r="O37" s="424"/>
      <c r="P37" s="424"/>
      <c r="Q37" s="426" t="s">
        <v>5</v>
      </c>
      <c r="R37" s="424"/>
      <c r="S37" s="424"/>
      <c r="T37" s="424"/>
      <c r="U37" s="424"/>
      <c r="V37" s="424"/>
      <c r="W37" s="424"/>
      <c r="X37" s="424"/>
      <c r="Y37" s="424"/>
      <c r="Z37" s="424"/>
      <c r="AA37" s="425"/>
      <c r="AB37" s="146"/>
      <c r="AC37" s="52"/>
    </row>
    <row r="38" spans="1:29" ht="12.75" outlineLevel="1">
      <c r="A38" s="79" t="s">
        <v>314</v>
      </c>
      <c r="C38" s="125">
        <f>B33/F38</f>
        <v>0.2857142857142857</v>
      </c>
      <c r="D38" s="127" t="s">
        <v>111</v>
      </c>
      <c r="E38" s="113"/>
      <c r="F38" s="126">
        <f>(B33*B33)/B28</f>
        <v>122.5</v>
      </c>
      <c r="G38" s="113" t="s">
        <v>102</v>
      </c>
      <c r="I38" s="173">
        <f aca="true" t="shared" si="12" ref="I38:I43">J38*J$21+K38*K$21+L38*L$21+M38*M$21+N38*N$21+O38*O$21+P38*P$21+Q38*Q$21+R38*R$21+S38*S$21+T38*T$21+U38*U$21+V38*V$21+W38*W$21+X38*X$21+Y38*Y$21+Z38*Z$21+AA38*AA$21</f>
        <v>0.18</v>
      </c>
      <c r="J38" s="64"/>
      <c r="K38" s="56"/>
      <c r="L38" s="56"/>
      <c r="M38" s="56"/>
      <c r="N38" s="56"/>
      <c r="O38" s="56"/>
      <c r="P38" s="254"/>
      <c r="Q38" s="88"/>
      <c r="R38" s="86"/>
      <c r="S38" s="56"/>
      <c r="T38" s="56"/>
      <c r="U38" s="254"/>
      <c r="V38" s="142">
        <f>V7*1.5</f>
        <v>0.006</v>
      </c>
      <c r="W38" s="182"/>
      <c r="X38" s="182"/>
      <c r="Y38" s="182"/>
      <c r="Z38" s="182"/>
      <c r="AA38" s="183"/>
      <c r="AB38" s="147">
        <f>0.1</f>
        <v>0.1</v>
      </c>
      <c r="AC38" s="60">
        <v>2</v>
      </c>
    </row>
    <row r="39" spans="1:29" ht="12.75" outlineLevel="1">
      <c r="A39" s="79" t="s">
        <v>272</v>
      </c>
      <c r="C39" s="284">
        <v>1.5</v>
      </c>
      <c r="D39" s="285" t="s">
        <v>312</v>
      </c>
      <c r="I39" s="173">
        <f t="shared" si="12"/>
        <v>0.18</v>
      </c>
      <c r="J39" s="64"/>
      <c r="K39" s="56"/>
      <c r="L39" s="56"/>
      <c r="M39" s="56"/>
      <c r="N39" s="56"/>
      <c r="O39" s="56"/>
      <c r="P39" s="254"/>
      <c r="Q39" s="88"/>
      <c r="R39" s="56"/>
      <c r="S39" s="56"/>
      <c r="T39" s="56"/>
      <c r="U39" s="56"/>
      <c r="V39" s="261"/>
      <c r="W39" s="182">
        <f>W8*1.5</f>
        <v>0.006</v>
      </c>
      <c r="X39" s="182"/>
      <c r="Y39" s="182"/>
      <c r="Z39" s="182"/>
      <c r="AA39" s="183"/>
      <c r="AB39" s="147">
        <f>0.1</f>
        <v>0.1</v>
      </c>
      <c r="AC39" s="60">
        <v>2</v>
      </c>
    </row>
    <row r="40" spans="4:29" ht="12.75" outlineLevel="1">
      <c r="D40" s="285" t="s">
        <v>274</v>
      </c>
      <c r="I40" s="173">
        <f t="shared" si="12"/>
        <v>0.18</v>
      </c>
      <c r="J40" s="64"/>
      <c r="K40" s="56"/>
      <c r="L40" s="56"/>
      <c r="M40" s="56"/>
      <c r="N40" s="56"/>
      <c r="O40" s="56"/>
      <c r="P40" s="254"/>
      <c r="Q40" s="88"/>
      <c r="R40" s="56"/>
      <c r="S40" s="56"/>
      <c r="T40" s="56"/>
      <c r="U40" s="56"/>
      <c r="V40" s="182"/>
      <c r="W40" s="261"/>
      <c r="X40" s="182">
        <f>X9*1.5</f>
        <v>0.006</v>
      </c>
      <c r="Y40" s="182"/>
      <c r="Z40" s="182"/>
      <c r="AA40" s="183"/>
      <c r="AB40" s="147">
        <f>0.1</f>
        <v>0.1</v>
      </c>
      <c r="AC40" s="60">
        <v>2</v>
      </c>
    </row>
    <row r="41" spans="9:29" ht="12.75" outlineLevel="1">
      <c r="I41" s="173">
        <f t="shared" si="12"/>
        <v>0.18</v>
      </c>
      <c r="J41" s="64"/>
      <c r="K41" s="56"/>
      <c r="L41" s="56"/>
      <c r="M41" s="56"/>
      <c r="N41" s="56"/>
      <c r="O41" s="56"/>
      <c r="P41" s="254"/>
      <c r="Q41" s="88"/>
      <c r="R41" s="56"/>
      <c r="S41" s="56"/>
      <c r="T41" s="56"/>
      <c r="U41" s="56"/>
      <c r="V41" s="182"/>
      <c r="W41" s="182"/>
      <c r="X41" s="261"/>
      <c r="Y41" s="182">
        <f>Y10*1.5</f>
        <v>0.006</v>
      </c>
      <c r="Z41" s="182"/>
      <c r="AA41" s="183"/>
      <c r="AB41" s="147">
        <f>0.1</f>
        <v>0.1</v>
      </c>
      <c r="AC41" s="60">
        <v>2</v>
      </c>
    </row>
    <row r="42" spans="9:29" ht="12.75" outlineLevel="1">
      <c r="I42" s="173">
        <f t="shared" si="12"/>
        <v>0.18</v>
      </c>
      <c r="J42" s="64"/>
      <c r="K42" s="56"/>
      <c r="L42" s="56"/>
      <c r="M42" s="56"/>
      <c r="N42" s="56"/>
      <c r="O42" s="56"/>
      <c r="P42" s="254"/>
      <c r="Q42" s="88"/>
      <c r="R42" s="56"/>
      <c r="S42" s="56"/>
      <c r="T42" s="56"/>
      <c r="U42" s="56"/>
      <c r="V42" s="182"/>
      <c r="W42" s="182"/>
      <c r="X42" s="182"/>
      <c r="Y42" s="261"/>
      <c r="Z42" s="182">
        <f>Z11*1.5</f>
        <v>0.006</v>
      </c>
      <c r="AA42" s="183"/>
      <c r="AB42" s="147">
        <f>28/31</f>
        <v>0.9032258064516129</v>
      </c>
      <c r="AC42" s="60"/>
    </row>
    <row r="43" spans="4:29" ht="12.75" outlineLevel="1">
      <c r="D43" s="16">
        <f>B33*B33/F36</f>
        <v>66.93989071038251</v>
      </c>
      <c r="I43" s="173">
        <f t="shared" si="12"/>
        <v>0.18</v>
      </c>
      <c r="J43" s="64"/>
      <c r="K43" s="56"/>
      <c r="L43" s="56"/>
      <c r="M43" s="56"/>
      <c r="N43" s="56"/>
      <c r="O43" s="56"/>
      <c r="P43" s="254"/>
      <c r="Q43" s="88"/>
      <c r="R43" s="56"/>
      <c r="S43" s="56"/>
      <c r="T43" s="56"/>
      <c r="U43" s="56"/>
      <c r="V43" s="182"/>
      <c r="W43" s="182"/>
      <c r="X43" s="182"/>
      <c r="Y43" s="182"/>
      <c r="Z43" s="261"/>
      <c r="AA43" s="334">
        <f>AA12*1.5</f>
        <v>0.006</v>
      </c>
      <c r="AB43" s="147">
        <f>28/31</f>
        <v>0.9032258064516129</v>
      </c>
      <c r="AC43" s="60"/>
    </row>
    <row r="44" spans="9:29" ht="15" outlineLevel="1">
      <c r="I44" s="174"/>
      <c r="J44" s="156"/>
      <c r="K44" s="51"/>
      <c r="L44" s="51"/>
      <c r="M44" s="51"/>
      <c r="N44" s="51"/>
      <c r="O44" s="51"/>
      <c r="P44" s="260"/>
      <c r="Q44" s="265"/>
      <c r="R44" s="51"/>
      <c r="S44" s="51"/>
      <c r="T44" s="51"/>
      <c r="U44" s="51"/>
      <c r="V44" s="335"/>
      <c r="W44" s="335"/>
      <c r="X44" s="335"/>
      <c r="Y44" s="335"/>
      <c r="Z44" s="335"/>
      <c r="AA44" s="336"/>
      <c r="AB44" s="146"/>
      <c r="AC44" s="52"/>
    </row>
    <row r="45" spans="8:29" ht="12.75" outlineLevel="1">
      <c r="H45" s="248" t="s">
        <v>363</v>
      </c>
      <c r="I45" s="173">
        <f>J45*J$21+K45*K$21+L45*L$21+M45*M$21+N45*N$21+O45*O$21+P45*P$21+Q45*Q$21+R45*R$21+S45*S$21+T45*T$21+U45*U$21+V45*V$21+W45*W$21+X45*X$21+Y45*Y$21+Z45*Z$21+AA45*AA$21</f>
        <v>2.539</v>
      </c>
      <c r="J45" s="267">
        <v>0.011</v>
      </c>
      <c r="K45" s="341">
        <f>DFB_Max_2008_07_07!T33/1000</f>
        <v>0.38</v>
      </c>
      <c r="L45" s="142">
        <v>0.125</v>
      </c>
      <c r="M45" s="341">
        <f>0.082</f>
        <v>0.082</v>
      </c>
      <c r="N45" s="341">
        <f>0.102</f>
        <v>0.102</v>
      </c>
      <c r="O45" s="142">
        <f>0.027</f>
        <v>0.027</v>
      </c>
      <c r="P45" s="341">
        <f>0.016</f>
        <v>0.016</v>
      </c>
      <c r="Q45" s="275"/>
      <c r="R45" s="143"/>
      <c r="S45" s="143"/>
      <c r="T45" s="57"/>
      <c r="U45" s="57"/>
      <c r="V45" s="57"/>
      <c r="W45" s="57"/>
      <c r="X45" s="57"/>
      <c r="Y45" s="57"/>
      <c r="Z45" s="57"/>
      <c r="AA45" s="155"/>
      <c r="AB45" s="148"/>
      <c r="AC45" s="58"/>
    </row>
    <row r="46" spans="8:30" ht="12.75" outlineLevel="1">
      <c r="H46" s="247" t="s">
        <v>259</v>
      </c>
      <c r="I46" s="173">
        <f>J46*J$21+K46*K$21+L46*L$21+M46*M$21+N46*N$21+O46*O$21+P46*P$21+Q46*Q$21+R46*R$21+S46*S$21+T46*T$21/2+U46*U$21/2+V46*V$21+W46*W$21+X46*X$21+Y46*Y$21+Z46*Z$21+AA46*AA$21</f>
        <v>3.1637500000000003</v>
      </c>
      <c r="J46" s="250"/>
      <c r="K46" s="251"/>
      <c r="L46" s="57"/>
      <c r="M46" s="144"/>
      <c r="N46" s="144"/>
      <c r="O46" s="182"/>
      <c r="P46" s="261"/>
      <c r="Q46" s="267">
        <f>Q15*1.5</f>
        <v>0.0045000000000000005</v>
      </c>
      <c r="R46" s="261">
        <v>0.063</v>
      </c>
      <c r="S46" s="182">
        <v>0.061</v>
      </c>
      <c r="T46" s="333">
        <v>0.00557</v>
      </c>
      <c r="U46" s="333">
        <v>0.00557</v>
      </c>
      <c r="V46" s="182">
        <f aca="true" t="shared" si="13" ref="V46:AA46">0.0036</f>
        <v>0.0036</v>
      </c>
      <c r="W46" s="182">
        <f t="shared" si="13"/>
        <v>0.0036</v>
      </c>
      <c r="X46" s="182">
        <f t="shared" si="13"/>
        <v>0.0036</v>
      </c>
      <c r="Y46" s="182">
        <f t="shared" si="13"/>
        <v>0.0036</v>
      </c>
      <c r="Z46" s="182">
        <f t="shared" si="13"/>
        <v>0.0036</v>
      </c>
      <c r="AA46" s="182">
        <f t="shared" si="13"/>
        <v>0.0036</v>
      </c>
      <c r="AB46" s="148"/>
      <c r="AC46" s="58"/>
      <c r="AD46" t="s">
        <v>351</v>
      </c>
    </row>
    <row r="47" spans="8:31" ht="12.75" outlineLevel="1">
      <c r="H47" s="316" t="s">
        <v>349</v>
      </c>
      <c r="I47" s="173">
        <f>J47*J$21+K47*K$21+L47*L$21+M47*M$21+N47*N$21+O47*O$21+P47*P$21+Q47*Q$21+R47*R$21+S47*S$21+T47*T$21+U47*U$21+V47*V$21+W47*W$21+X47*X$21+Y47*Y$21+Z47*Z$21+AA47*AA$21</f>
        <v>0.73125</v>
      </c>
      <c r="J47" s="159"/>
      <c r="K47" s="57"/>
      <c r="L47" s="144"/>
      <c r="M47" s="253">
        <f>M16*1.5</f>
        <v>0.00375</v>
      </c>
      <c r="N47" s="253">
        <f>N16*1.5</f>
        <v>0.0075</v>
      </c>
      <c r="O47" s="251">
        <f>O16*1.5</f>
        <v>0.037500000000000006</v>
      </c>
      <c r="P47" s="253">
        <f>P16*1.5</f>
        <v>0.03</v>
      </c>
      <c r="Q47" s="250"/>
      <c r="R47" s="143"/>
      <c r="S47" s="143"/>
      <c r="T47" s="57"/>
      <c r="U47" s="57"/>
      <c r="V47" s="57"/>
      <c r="W47" s="57"/>
      <c r="X47" s="57"/>
      <c r="Y47" s="57"/>
      <c r="Z47" s="57"/>
      <c r="AA47" s="155"/>
      <c r="AB47" s="148"/>
      <c r="AC47" s="58"/>
      <c r="AE47" t="s">
        <v>350</v>
      </c>
    </row>
    <row r="48" spans="9:29" ht="12.75" hidden="1" outlineLevel="1">
      <c r="I48" s="173">
        <f>J48*J$21+K48*K$21+L48*L$21+M48*M$21+N48*N$21+O48*O$21+P48*P$21+Q48*Q$21+R48*R$21+S48*S$21+T48*T$21+U48*U$21+V48*V$21+W48*W$21+X48*X$21+Y48*Y$21+Z48*Z$21+AA48*AA$21</f>
        <v>0.14400000000000002</v>
      </c>
      <c r="J48" s="159"/>
      <c r="K48" s="57"/>
      <c r="L48" s="143">
        <f>DCB_2008_08_18!G10/1000</f>
        <v>0.04</v>
      </c>
      <c r="M48" s="144"/>
      <c r="N48" s="144"/>
      <c r="O48" s="57"/>
      <c r="P48" s="144"/>
      <c r="Q48" s="266"/>
      <c r="R48" s="57"/>
      <c r="S48" s="57"/>
      <c r="T48" s="57"/>
      <c r="U48" s="57"/>
      <c r="V48" s="57"/>
      <c r="W48" s="57"/>
      <c r="X48" s="57"/>
      <c r="Y48" s="57"/>
      <c r="Z48" s="57"/>
      <c r="AA48" s="155"/>
      <c r="AB48" s="148"/>
      <c r="AC48" s="58"/>
    </row>
    <row r="49" spans="8:29" ht="12.75" outlineLevel="1">
      <c r="H49" s="248" t="s">
        <v>362</v>
      </c>
      <c r="I49" s="173">
        <f>J49*J$21+K49*K$21+L49*L$21+M49*M$21+N49*N$21+O49*O$21+P49*P$21+Q49*Q$21+R49*R$21+S49*S$21+T49*T$21+U49*U$21+V49*V$21+W49*W$21+X49*X$21+Y49*Y$21+Z49*Z$21+AA49*AA$21</f>
        <v>2.490568410181819</v>
      </c>
      <c r="J49" s="337">
        <f>J18*1.5</f>
        <v>0.0066</v>
      </c>
      <c r="K49" s="182">
        <f>DCB_2008_08_18!G24/1000</f>
        <v>0.3732</v>
      </c>
      <c r="L49" s="182">
        <f>DCB_2008_08_18!G23/1000</f>
        <v>0.3911967806060606</v>
      </c>
      <c r="M49" s="261">
        <f>M18</f>
        <v>0.0165</v>
      </c>
      <c r="N49" s="338">
        <f>N18</f>
        <v>0.011000000000000001</v>
      </c>
      <c r="O49" s="339">
        <f>0.012</f>
        <v>0.012</v>
      </c>
      <c r="P49" s="338">
        <f>0.012</f>
        <v>0.012</v>
      </c>
      <c r="Q49" s="250"/>
      <c r="R49" s="57"/>
      <c r="S49" s="57"/>
      <c r="T49" s="57"/>
      <c r="U49" s="57"/>
      <c r="V49" s="57"/>
      <c r="W49" s="57"/>
      <c r="X49" s="57"/>
      <c r="Y49" s="57"/>
      <c r="Z49" s="57"/>
      <c r="AA49" s="155"/>
      <c r="AB49" s="148"/>
      <c r="AC49" s="58"/>
    </row>
    <row r="50" spans="8:29" ht="12.75" outlineLevel="1">
      <c r="H50" s="332" t="s">
        <v>354</v>
      </c>
      <c r="I50" s="173">
        <f>J50*J$21+K50*K$21+L50*L$21+M50*M$21+N50*N$21+O50*O$21+P50*P$21+Q50*Q$21+R50*R$21+S50*S$21+T50*T$21/2+U50*U$21/2+V50*V$21+W50*W$21+X50*X$21+Y50*Y$21+Z50*Z$21+AA50*AA$21</f>
        <v>7.180890413877895</v>
      </c>
      <c r="J50" s="340">
        <f aca="true" t="shared" si="14" ref="J50:S50">SUM(J37:J49)*$L$24</f>
        <v>0.011616</v>
      </c>
      <c r="K50" s="272">
        <f t="shared" si="14"/>
        <v>0.497112</v>
      </c>
      <c r="L50" s="142">
        <f t="shared" si="14"/>
        <v>0.3670898752</v>
      </c>
      <c r="M50" s="142">
        <f t="shared" si="14"/>
        <v>0.067485</v>
      </c>
      <c r="N50" s="142">
        <f t="shared" si="14"/>
        <v>0.07952999999999999</v>
      </c>
      <c r="O50" s="142">
        <f t="shared" si="14"/>
        <v>0.05049</v>
      </c>
      <c r="P50" s="341">
        <f t="shared" si="14"/>
        <v>0.03828</v>
      </c>
      <c r="Q50" s="271">
        <f t="shared" si="14"/>
        <v>0.0029700000000000004</v>
      </c>
      <c r="R50" s="207">
        <f t="shared" si="14"/>
        <v>0.04158</v>
      </c>
      <c r="S50" s="207">
        <f t="shared" si="14"/>
        <v>0.040260000000000004</v>
      </c>
      <c r="T50" s="327">
        <f>(SUM(T38:T49)*$W$24+$Z$25/T52+T19)/2</f>
        <v>0.006174473684210527</v>
      </c>
      <c r="U50" s="327">
        <f>(SUM(U38:U49)*$W$24+$Z$25/U52+U19)/2</f>
        <v>0.005469795321637428</v>
      </c>
      <c r="V50" s="207">
        <f aca="true" t="shared" si="15" ref="V50:AA50">SUM(V37:V49)*$L$24</f>
        <v>0.0063360000000000005</v>
      </c>
      <c r="W50" s="207">
        <f t="shared" si="15"/>
        <v>0.0063360000000000005</v>
      </c>
      <c r="X50" s="207">
        <f t="shared" si="15"/>
        <v>0.0063360000000000005</v>
      </c>
      <c r="Y50" s="207">
        <f t="shared" si="15"/>
        <v>0.0063360000000000005</v>
      </c>
      <c r="Z50" s="207">
        <f t="shared" si="15"/>
        <v>0.0063360000000000005</v>
      </c>
      <c r="AA50" s="274">
        <f t="shared" si="15"/>
        <v>0.0063360000000000005</v>
      </c>
      <c r="AB50" s="149"/>
      <c r="AC50" s="87"/>
    </row>
    <row r="51" spans="9:29" ht="12.75" outlineLevel="1">
      <c r="I51" s="175"/>
      <c r="J51" s="162"/>
      <c r="K51" s="89"/>
      <c r="L51" s="89"/>
      <c r="M51" s="89"/>
      <c r="N51" s="89"/>
      <c r="O51" s="89"/>
      <c r="P51" s="89"/>
      <c r="Q51" s="162"/>
      <c r="R51" s="257"/>
      <c r="S51" s="89"/>
      <c r="T51" s="89"/>
      <c r="U51" s="89"/>
      <c r="V51" s="89"/>
      <c r="W51" s="89"/>
      <c r="X51" s="89"/>
      <c r="Y51" s="89"/>
      <c r="Z51" s="89"/>
      <c r="AA51" s="163"/>
      <c r="AB51" s="90"/>
      <c r="AC51" s="90"/>
    </row>
    <row r="52" spans="9:30" ht="15">
      <c r="I52" s="176">
        <f>SUM(I37:I43)+SUM(I45:I50)</f>
        <v>17.329458824059714</v>
      </c>
      <c r="J52" s="164">
        <f aca="true" t="shared" si="16" ref="J52:AA52">J21</f>
        <v>5</v>
      </c>
      <c r="K52" s="97">
        <f t="shared" si="16"/>
        <v>1.8</v>
      </c>
      <c r="L52" s="97">
        <f t="shared" si="16"/>
        <v>3.6</v>
      </c>
      <c r="M52" s="97">
        <f t="shared" si="16"/>
        <v>5</v>
      </c>
      <c r="N52" s="97">
        <f t="shared" si="16"/>
        <v>5</v>
      </c>
      <c r="O52" s="97">
        <f t="shared" si="16"/>
        <v>10</v>
      </c>
      <c r="P52" s="262">
        <f t="shared" si="16"/>
        <v>10</v>
      </c>
      <c r="Q52" s="164">
        <f t="shared" si="16"/>
        <v>5</v>
      </c>
      <c r="R52" s="97">
        <f t="shared" si="16"/>
        <v>10</v>
      </c>
      <c r="S52" s="97">
        <f t="shared" si="16"/>
        <v>10</v>
      </c>
      <c r="T52" s="97">
        <f t="shared" si="16"/>
        <v>225</v>
      </c>
      <c r="U52" s="97">
        <f t="shared" si="16"/>
        <v>225</v>
      </c>
      <c r="V52" s="97">
        <f t="shared" si="16"/>
        <v>30</v>
      </c>
      <c r="W52" s="97">
        <f t="shared" si="16"/>
        <v>30</v>
      </c>
      <c r="X52" s="97">
        <f t="shared" si="16"/>
        <v>30</v>
      </c>
      <c r="Y52" s="97">
        <f t="shared" si="16"/>
        <v>30</v>
      </c>
      <c r="Z52" s="97">
        <f t="shared" si="16"/>
        <v>30</v>
      </c>
      <c r="AA52" s="165">
        <f t="shared" si="16"/>
        <v>30</v>
      </c>
      <c r="AB52" s="150" t="s">
        <v>80</v>
      </c>
      <c r="AC52" s="99"/>
      <c r="AD52" t="s">
        <v>352</v>
      </c>
    </row>
    <row r="53" spans="9:29" ht="15">
      <c r="I53" s="177" t="s">
        <v>252</v>
      </c>
      <c r="J53" s="166">
        <f aca="true" t="shared" si="17" ref="J53:AA53">SUM(J37:J43)+SUM(J45:J49)</f>
        <v>0.017599999999999998</v>
      </c>
      <c r="K53" s="104">
        <f t="shared" si="17"/>
        <v>0.7532</v>
      </c>
      <c r="L53" s="104">
        <f t="shared" si="17"/>
        <v>0.5561967806060606</v>
      </c>
      <c r="M53" s="104">
        <f t="shared" si="17"/>
        <v>0.10225000000000001</v>
      </c>
      <c r="N53" s="104">
        <f t="shared" si="17"/>
        <v>0.12049999999999998</v>
      </c>
      <c r="O53" s="104">
        <f t="shared" si="17"/>
        <v>0.0765</v>
      </c>
      <c r="P53" s="116">
        <f t="shared" si="17"/>
        <v>0.057999999999999996</v>
      </c>
      <c r="Q53" s="166">
        <f t="shared" si="17"/>
        <v>0.0045000000000000005</v>
      </c>
      <c r="R53" s="258">
        <f t="shared" si="17"/>
        <v>0.063</v>
      </c>
      <c r="S53" s="104">
        <f t="shared" si="17"/>
        <v>0.061</v>
      </c>
      <c r="T53" s="328">
        <f t="shared" si="17"/>
        <v>0.00557</v>
      </c>
      <c r="U53" s="328">
        <f t="shared" si="17"/>
        <v>0.00557</v>
      </c>
      <c r="V53" s="104">
        <f t="shared" si="17"/>
        <v>0.009600000000000001</v>
      </c>
      <c r="W53" s="104">
        <f t="shared" si="17"/>
        <v>0.009600000000000001</v>
      </c>
      <c r="X53" s="104">
        <f t="shared" si="17"/>
        <v>0.009600000000000001</v>
      </c>
      <c r="Y53" s="104">
        <f t="shared" si="17"/>
        <v>0.009600000000000001</v>
      </c>
      <c r="Z53" s="104">
        <f t="shared" si="17"/>
        <v>0.009600000000000001</v>
      </c>
      <c r="AA53" s="167">
        <f t="shared" si="17"/>
        <v>0.009600000000000001</v>
      </c>
      <c r="AB53" s="150" t="s">
        <v>81</v>
      </c>
      <c r="AC53" s="99"/>
    </row>
    <row r="54" spans="9:29" ht="15.75" thickBot="1">
      <c r="I54" s="178"/>
      <c r="J54" s="168">
        <f aca="true" t="shared" si="18" ref="J54:AA54">J52*J53</f>
        <v>0.088</v>
      </c>
      <c r="K54" s="181">
        <f t="shared" si="18"/>
        <v>1.35576</v>
      </c>
      <c r="L54" s="169">
        <f t="shared" si="18"/>
        <v>2.002308410181818</v>
      </c>
      <c r="M54" s="169">
        <f t="shared" si="18"/>
        <v>0.51125</v>
      </c>
      <c r="N54" s="169">
        <f t="shared" si="18"/>
        <v>0.6024999999999999</v>
      </c>
      <c r="O54" s="169">
        <f t="shared" si="18"/>
        <v>0.765</v>
      </c>
      <c r="P54" s="263">
        <f t="shared" si="18"/>
        <v>0.58</v>
      </c>
      <c r="Q54" s="168">
        <f t="shared" si="18"/>
        <v>0.022500000000000003</v>
      </c>
      <c r="R54" s="169">
        <f t="shared" si="18"/>
        <v>0.63</v>
      </c>
      <c r="S54" s="169">
        <f t="shared" si="18"/>
        <v>0.61</v>
      </c>
      <c r="T54" s="169">
        <f t="shared" si="18"/>
        <v>1.25325</v>
      </c>
      <c r="U54" s="169">
        <f t="shared" si="18"/>
        <v>1.25325</v>
      </c>
      <c r="V54" s="169">
        <f t="shared" si="18"/>
        <v>0.28800000000000003</v>
      </c>
      <c r="W54" s="169">
        <f t="shared" si="18"/>
        <v>0.28800000000000003</v>
      </c>
      <c r="X54" s="169">
        <f t="shared" si="18"/>
        <v>0.28800000000000003</v>
      </c>
      <c r="Y54" s="169">
        <f t="shared" si="18"/>
        <v>0.28800000000000003</v>
      </c>
      <c r="Z54" s="169">
        <f t="shared" si="18"/>
        <v>0.28800000000000003</v>
      </c>
      <c r="AA54" s="170">
        <f t="shared" si="18"/>
        <v>0.28800000000000003</v>
      </c>
      <c r="AB54" s="151" t="s">
        <v>4</v>
      </c>
      <c r="AC54" s="110"/>
    </row>
    <row r="56" ht="12.75">
      <c r="L56" s="139"/>
    </row>
  </sheetData>
  <mergeCells count="16">
    <mergeCell ref="D30:H30"/>
    <mergeCell ref="D26:H26"/>
    <mergeCell ref="D27:H27"/>
    <mergeCell ref="D28:H28"/>
    <mergeCell ref="D29:H29"/>
    <mergeCell ref="A3:A5"/>
    <mergeCell ref="E3:G4"/>
    <mergeCell ref="B3:D4"/>
    <mergeCell ref="J3:AC4"/>
    <mergeCell ref="I3:I4"/>
    <mergeCell ref="Q6:AA6"/>
    <mergeCell ref="Q37:AA37"/>
    <mergeCell ref="I34:I35"/>
    <mergeCell ref="J34:AC35"/>
    <mergeCell ref="J37:P37"/>
    <mergeCell ref="J6:P6"/>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I7" sqref="I7"/>
    </sheetView>
  </sheetViews>
  <sheetFormatPr defaultColWidth="9.140625" defaultRowHeight="12.75"/>
  <cols>
    <col min="1" max="1" width="11.421875" style="0" customWidth="1"/>
    <col min="2" max="6" width="10.140625" style="0" customWidth="1"/>
    <col min="7" max="7" width="10.28125" style="0" customWidth="1"/>
  </cols>
  <sheetData>
    <row r="1" spans="1:7" s="18" customFormat="1" ht="18">
      <c r="A1" s="18" t="s">
        <v>15</v>
      </c>
      <c r="G1" s="18" t="s">
        <v>16</v>
      </c>
    </row>
    <row r="3" spans="1:8" ht="12.75">
      <c r="A3" s="1" t="s">
        <v>4</v>
      </c>
      <c r="B3" s="13"/>
      <c r="C3" s="13"/>
      <c r="D3" s="13"/>
      <c r="E3" s="13"/>
      <c r="F3" s="13"/>
      <c r="G3" s="16"/>
      <c r="H3" s="15"/>
    </row>
    <row r="4" spans="1:8" ht="12.75">
      <c r="A4" s="1"/>
      <c r="B4" s="13"/>
      <c r="C4" s="13"/>
      <c r="D4" s="13"/>
      <c r="E4" s="13"/>
      <c r="F4" s="13"/>
      <c r="G4" s="16"/>
      <c r="H4" s="15"/>
    </row>
    <row r="5" spans="1:10" ht="51">
      <c r="A5" s="355" t="s">
        <v>0</v>
      </c>
      <c r="B5" s="356" t="s">
        <v>17</v>
      </c>
      <c r="C5" s="357" t="s">
        <v>334</v>
      </c>
      <c r="D5" s="356" t="s">
        <v>132</v>
      </c>
      <c r="E5" s="356" t="s">
        <v>19</v>
      </c>
      <c r="F5" s="356" t="s">
        <v>20</v>
      </c>
      <c r="G5" s="16"/>
      <c r="H5" s="32"/>
      <c r="I5" s="8" t="s">
        <v>25</v>
      </c>
      <c r="J5" s="7"/>
    </row>
    <row r="6" spans="1:10" ht="12.75">
      <c r="A6" s="346" t="s">
        <v>5</v>
      </c>
      <c r="B6" s="347">
        <f>'Detail 2009-12-25'!E15</f>
        <v>1.9029999999999996</v>
      </c>
      <c r="C6" s="348">
        <f aca="true" t="shared" si="0" ref="C6:C13">(D6-B6)/B6</f>
        <v>-0.027850761954807936</v>
      </c>
      <c r="D6" s="347">
        <v>1.85</v>
      </c>
      <c r="E6" s="347"/>
      <c r="F6" s="347">
        <v>0</v>
      </c>
      <c r="G6" s="16"/>
      <c r="H6" s="28"/>
      <c r="I6" s="19" t="s">
        <v>368</v>
      </c>
      <c r="J6" s="13"/>
    </row>
    <row r="7" spans="1:10" ht="12.75">
      <c r="A7" s="346" t="s">
        <v>6</v>
      </c>
      <c r="B7" s="347">
        <f>'Detail 2009-12-25'!E14</f>
        <v>1.504536</v>
      </c>
      <c r="C7" s="348">
        <f t="shared" si="0"/>
        <v>0.21525008374674964</v>
      </c>
      <c r="D7" s="347">
        <v>1.8283874999999998</v>
      </c>
      <c r="E7" s="347"/>
      <c r="F7" s="347">
        <v>0</v>
      </c>
      <c r="G7" s="16"/>
      <c r="H7" s="28"/>
      <c r="I7" s="19" t="s">
        <v>364</v>
      </c>
      <c r="J7" s="13"/>
    </row>
    <row r="8" spans="1:10" ht="12.75">
      <c r="A8" s="346" t="s">
        <v>359</v>
      </c>
      <c r="B8" s="347">
        <f>'Detail 2009-12-25'!E18</f>
        <v>1.2375791999999999</v>
      </c>
      <c r="C8" s="348">
        <f t="shared" si="0"/>
        <v>0.6887808069172462</v>
      </c>
      <c r="D8" s="347">
        <v>2.09</v>
      </c>
      <c r="E8" s="347"/>
      <c r="F8" s="347">
        <v>0</v>
      </c>
      <c r="G8" s="16"/>
      <c r="H8" s="28"/>
      <c r="I8" s="19" t="s">
        <v>364</v>
      </c>
      <c r="J8" s="13"/>
    </row>
    <row r="9" spans="1:10" ht="12.75">
      <c r="A9" s="346" t="s">
        <v>8</v>
      </c>
      <c r="B9" s="347">
        <f>'Detail 2009-12-25'!E16+'Detail 2009-12-25'!E19</f>
        <v>5.219994453052631</v>
      </c>
      <c r="C9" s="348">
        <f t="shared" si="0"/>
        <v>-0.13923387899916242</v>
      </c>
      <c r="D9" s="347">
        <v>4.493194377000002</v>
      </c>
      <c r="E9" s="347"/>
      <c r="F9" s="347">
        <v>0</v>
      </c>
      <c r="G9" s="16"/>
      <c r="H9" s="28"/>
      <c r="I9" s="19" t="s">
        <v>365</v>
      </c>
      <c r="J9" s="13"/>
    </row>
    <row r="10" spans="1:10" ht="12.75">
      <c r="A10" s="349" t="s">
        <v>31</v>
      </c>
      <c r="B10" s="350">
        <f>SUM(B6:B9)</f>
        <v>9.865109653052631</v>
      </c>
      <c r="C10" s="348">
        <f t="shared" si="0"/>
        <v>0.04018933776622411</v>
      </c>
      <c r="D10" s="350">
        <f>SUM(D6:D9)</f>
        <v>10.261581877000001</v>
      </c>
      <c r="E10" s="347">
        <f>'Detail 2009-04-03'!C28</f>
        <v>1.0533181818181818</v>
      </c>
      <c r="F10" s="350"/>
      <c r="G10" s="16"/>
      <c r="H10" s="28"/>
      <c r="I10" s="19"/>
      <c r="J10" s="13"/>
    </row>
    <row r="11" spans="1:10" ht="12.75">
      <c r="A11" s="349" t="s">
        <v>22</v>
      </c>
      <c r="B11" s="347">
        <f>SUM('Detail 2009-09-11'!E7:E10)</f>
        <v>0.48</v>
      </c>
      <c r="C11" s="348">
        <f t="shared" si="0"/>
        <v>0.25</v>
      </c>
      <c r="D11" s="347">
        <v>0.6</v>
      </c>
      <c r="E11" s="347">
        <v>2</v>
      </c>
      <c r="F11" s="347">
        <v>0</v>
      </c>
      <c r="G11" s="16"/>
      <c r="H11" s="28"/>
      <c r="I11" s="19" t="s">
        <v>366</v>
      </c>
      <c r="J11" s="13"/>
    </row>
    <row r="12" spans="1:10" ht="13.5" thickBot="1">
      <c r="A12" s="349" t="s">
        <v>23</v>
      </c>
      <c r="B12" s="347">
        <f>SUM('Detail 2009-09-11'!E11:E12)</f>
        <v>0.24</v>
      </c>
      <c r="C12" s="348">
        <f t="shared" si="0"/>
        <v>0.25</v>
      </c>
      <c r="D12" s="347">
        <v>0.3</v>
      </c>
      <c r="E12" s="347">
        <v>2.25</v>
      </c>
      <c r="F12" s="347">
        <v>0</v>
      </c>
      <c r="G12" s="16"/>
      <c r="H12" s="28"/>
      <c r="I12" s="19" t="s">
        <v>324</v>
      </c>
      <c r="J12" s="13"/>
    </row>
    <row r="13" spans="1:10" ht="13.5" thickBot="1">
      <c r="A13" s="351" t="s">
        <v>2</v>
      </c>
      <c r="B13" s="352">
        <f>SUM(B10:B12)</f>
        <v>10.585109653052632</v>
      </c>
      <c r="C13" s="353">
        <f t="shared" si="0"/>
        <v>0.05423845134102054</v>
      </c>
      <c r="D13" s="352">
        <v>11.159229607909094</v>
      </c>
      <c r="E13" s="354"/>
      <c r="F13" s="354"/>
      <c r="G13" s="16"/>
      <c r="H13" s="187"/>
      <c r="I13" s="15"/>
      <c r="J13" s="13"/>
    </row>
    <row r="14" spans="7:8" ht="13.5" thickTop="1">
      <c r="G14" s="16"/>
      <c r="H14" s="31"/>
    </row>
    <row r="15" spans="1:8" ht="12.75">
      <c r="A15" t="s">
        <v>367</v>
      </c>
      <c r="H15" s="31"/>
    </row>
    <row r="16" ht="12.75">
      <c r="A16" t="s">
        <v>35</v>
      </c>
    </row>
    <row r="17" ht="12.75">
      <c r="A17" t="s">
        <v>329</v>
      </c>
    </row>
    <row r="18" ht="12.75">
      <c r="A18" t="s">
        <v>360</v>
      </c>
    </row>
    <row r="19" ht="12.75">
      <c r="A19" t="s">
        <v>328</v>
      </c>
    </row>
    <row r="20" ht="12.75">
      <c r="A20" s="282" t="s">
        <v>269</v>
      </c>
    </row>
    <row r="21" ht="12.75">
      <c r="A21" s="282" t="s">
        <v>266</v>
      </c>
    </row>
    <row r="39" ht="12.75">
      <c r="D39" s="2"/>
    </row>
  </sheetData>
  <printOptions/>
  <pageMargins left="0.75" right="0.75" top="1" bottom="1" header="0.5" footer="0.5"/>
  <pageSetup horizontalDpi="600" verticalDpi="600" orientation="landscape" r:id="rId1"/>
  <headerFooter alignWithMargins="0">
    <oddFooter>&amp;L&amp;D &amp;T&amp;R&amp;F &amp;A</oddFooter>
  </headerFooter>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AE56"/>
  <sheetViews>
    <sheetView zoomScaleSheetLayoutView="100" workbookViewId="0" topLeftCell="A1">
      <pane xSplit="1" ySplit="5" topLeftCell="F14" activePane="bottomRight" state="frozen"/>
      <selection pane="topLeft" activeCell="A1" sqref="A1"/>
      <selection pane="topRight" activeCell="B1" sqref="B1"/>
      <selection pane="bottomLeft" activeCell="A6" sqref="A6"/>
      <selection pane="bottomRight" activeCell="Q47" sqref="Q47"/>
    </sheetView>
  </sheetViews>
  <sheetFormatPr defaultColWidth="9.140625" defaultRowHeight="12.75" outlineLevelRow="1"/>
  <cols>
    <col min="1" max="1" width="23.28125" style="0" customWidth="1"/>
    <col min="2" max="2" width="9.7109375" style="0" customWidth="1"/>
    <col min="3" max="3" width="10.00390625" style="37" customWidth="1"/>
    <col min="4" max="4" width="9.7109375" style="16" customWidth="1"/>
    <col min="5" max="5" width="9.7109375" style="0" customWidth="1"/>
    <col min="6" max="6" width="9.7109375" style="38" customWidth="1"/>
    <col min="7" max="7" width="9.7109375" style="0" customWidth="1"/>
    <col min="8" max="8" width="7.421875" style="39" customWidth="1"/>
    <col min="9" max="9" width="9.28125" style="113" customWidth="1"/>
    <col min="10" max="11" width="7.421875" style="0" customWidth="1"/>
    <col min="12" max="12" width="6.7109375" style="0" customWidth="1"/>
    <col min="13" max="19" width="5.7109375" style="0" customWidth="1"/>
    <col min="20" max="21" width="6.28125" style="0" customWidth="1"/>
    <col min="22" max="36" width="5.7109375" style="0" customWidth="1"/>
  </cols>
  <sheetData>
    <row r="1" spans="1:9" ht="18">
      <c r="A1" s="36" t="s">
        <v>83</v>
      </c>
      <c r="I1" s="40" t="s">
        <v>251</v>
      </c>
    </row>
    <row r="2" spans="1:9" ht="4.5" customHeight="1" thickBot="1">
      <c r="A2" s="36"/>
      <c r="I2" s="40"/>
    </row>
    <row r="3" spans="1:29" ht="13.5" customHeight="1">
      <c r="A3" s="435" t="s">
        <v>36</v>
      </c>
      <c r="B3" s="438" t="s">
        <v>37</v>
      </c>
      <c r="C3" s="444"/>
      <c r="D3" s="445"/>
      <c r="E3" s="438" t="s">
        <v>38</v>
      </c>
      <c r="F3" s="439"/>
      <c r="G3" s="440"/>
      <c r="H3" s="41"/>
      <c r="I3" s="427" t="s">
        <v>39</v>
      </c>
      <c r="J3" s="429" t="s">
        <v>40</v>
      </c>
      <c r="K3" s="429"/>
      <c r="L3" s="430"/>
      <c r="M3" s="430"/>
      <c r="N3" s="430"/>
      <c r="O3" s="430"/>
      <c r="P3" s="430"/>
      <c r="Q3" s="430"/>
      <c r="R3" s="430"/>
      <c r="S3" s="430"/>
      <c r="T3" s="430"/>
      <c r="U3" s="430"/>
      <c r="V3" s="430"/>
      <c r="W3" s="430"/>
      <c r="X3" s="430"/>
      <c r="Y3" s="430"/>
      <c r="Z3" s="430"/>
      <c r="AA3" s="430"/>
      <c r="AB3" s="430"/>
      <c r="AC3" s="431"/>
    </row>
    <row r="4" spans="1:29" ht="15" customHeight="1" thickBot="1">
      <c r="A4" s="436"/>
      <c r="B4" s="446"/>
      <c r="C4" s="447"/>
      <c r="D4" s="448"/>
      <c r="E4" s="441"/>
      <c r="F4" s="442"/>
      <c r="G4" s="443"/>
      <c r="H4" s="41"/>
      <c r="I4" s="428"/>
      <c r="J4" s="432"/>
      <c r="K4" s="432"/>
      <c r="L4" s="432"/>
      <c r="M4" s="432"/>
      <c r="N4" s="432"/>
      <c r="O4" s="432"/>
      <c r="P4" s="432"/>
      <c r="Q4" s="432"/>
      <c r="R4" s="432"/>
      <c r="S4" s="432"/>
      <c r="T4" s="432"/>
      <c r="U4" s="432"/>
      <c r="V4" s="432"/>
      <c r="W4" s="432"/>
      <c r="X4" s="432"/>
      <c r="Y4" s="432"/>
      <c r="Z4" s="432"/>
      <c r="AA4" s="432"/>
      <c r="AB4" s="433"/>
      <c r="AC4" s="434"/>
    </row>
    <row r="5" spans="1:29" ht="12.75" customHeight="1">
      <c r="A5" s="437"/>
      <c r="B5" s="42" t="s">
        <v>41</v>
      </c>
      <c r="C5" s="43" t="s">
        <v>42</v>
      </c>
      <c r="D5" s="44" t="s">
        <v>43</v>
      </c>
      <c r="E5" s="45" t="s">
        <v>44</v>
      </c>
      <c r="F5" s="46" t="s">
        <v>45</v>
      </c>
      <c r="G5" s="47" t="s">
        <v>88</v>
      </c>
      <c r="H5" s="28"/>
      <c r="I5" s="171" t="s">
        <v>46</v>
      </c>
      <c r="J5" s="152" t="s">
        <v>47</v>
      </c>
      <c r="K5" s="179" t="s">
        <v>330</v>
      </c>
      <c r="L5" s="153" t="s">
        <v>331</v>
      </c>
      <c r="M5" s="153" t="s">
        <v>49</v>
      </c>
      <c r="N5" s="153" t="s">
        <v>50</v>
      </c>
      <c r="O5" s="153" t="s">
        <v>129</v>
      </c>
      <c r="P5" s="259" t="s">
        <v>131</v>
      </c>
      <c r="Q5" s="264" t="s">
        <v>47</v>
      </c>
      <c r="R5" s="153" t="s">
        <v>53</v>
      </c>
      <c r="S5" s="153" t="s">
        <v>54</v>
      </c>
      <c r="T5" s="153" t="s">
        <v>320</v>
      </c>
      <c r="U5" s="153" t="s">
        <v>321</v>
      </c>
      <c r="V5" s="153" t="s">
        <v>315</v>
      </c>
      <c r="W5" s="153" t="s">
        <v>316</v>
      </c>
      <c r="X5" s="153" t="s">
        <v>317</v>
      </c>
      <c r="Y5" s="153" t="s">
        <v>318</v>
      </c>
      <c r="Z5" s="153" t="s">
        <v>60</v>
      </c>
      <c r="AA5" s="154" t="s">
        <v>319</v>
      </c>
      <c r="AB5" s="359"/>
      <c r="AC5" s="360"/>
    </row>
    <row r="6" spans="1:29" s="53" customFormat="1" ht="15.75">
      <c r="A6" s="72" t="s">
        <v>66</v>
      </c>
      <c r="B6" s="73"/>
      <c r="C6" s="73"/>
      <c r="D6" s="74" t="str">
        <f aca="true" t="shared" si="0" ref="D6:D19">IF($C6="Concept",0.25,IF($C6="Design",0.15,IF($C6="Prior",0.075,IF($C6="Fab",0.04,IF($C6="Flight",0.02," ")))))</f>
        <v> </v>
      </c>
      <c r="E6" s="119">
        <f>SUM(E7:E12)</f>
        <v>0.72</v>
      </c>
      <c r="F6" s="120">
        <f aca="true" t="shared" si="1" ref="F6:F19">(G6-E6)/E6</f>
        <v>0.25000000000000006</v>
      </c>
      <c r="G6" s="121">
        <f>SUM(G7:G12)</f>
        <v>0.9</v>
      </c>
      <c r="H6" s="61"/>
      <c r="I6" s="172"/>
      <c r="J6" s="426" t="s">
        <v>128</v>
      </c>
      <c r="K6" s="424"/>
      <c r="L6" s="424"/>
      <c r="M6" s="424"/>
      <c r="N6" s="424"/>
      <c r="O6" s="424"/>
      <c r="P6" s="424"/>
      <c r="Q6" s="426" t="s">
        <v>5</v>
      </c>
      <c r="R6" s="424"/>
      <c r="S6" s="424"/>
      <c r="T6" s="424"/>
      <c r="U6" s="424"/>
      <c r="V6" s="424"/>
      <c r="W6" s="424"/>
      <c r="X6" s="424"/>
      <c r="Y6" s="424"/>
      <c r="Z6" s="424"/>
      <c r="AA6" s="425"/>
      <c r="AB6" s="361"/>
      <c r="AC6" s="362"/>
    </row>
    <row r="7" spans="1:29" ht="12.75" outlineLevel="1">
      <c r="A7" s="64" t="s">
        <v>67</v>
      </c>
      <c r="B7" s="65" t="s">
        <v>13</v>
      </c>
      <c r="C7" s="30" t="s">
        <v>64</v>
      </c>
      <c r="D7" s="342">
        <f t="shared" si="0"/>
        <v>0.15</v>
      </c>
      <c r="E7" s="67">
        <f aca="true" t="shared" si="2" ref="E7:E12">I7</f>
        <v>0.12</v>
      </c>
      <c r="F7" s="68">
        <f t="shared" si="1"/>
        <v>0.25</v>
      </c>
      <c r="G7" s="118">
        <f aca="true" t="shared" si="3" ref="G7:G12">0.15</f>
        <v>0.15</v>
      </c>
      <c r="H7" s="70"/>
      <c r="I7" s="173">
        <f aca="true" t="shared" si="4" ref="I7:I12">J7*J$21+K7*K$21+L7*L$21+M7*M$21+N7*N$21+O7*O$21+P7*P$21+Q7*Q$21+R7*R$21+S7*S$21+T7*T$21+U7*U$21+V7*V$21+W7*W$21+X7*X$21+Y7*Y$21+Z7*Z$21+AA7*AA$21</f>
        <v>0.12</v>
      </c>
      <c r="J7" s="64"/>
      <c r="K7" s="56"/>
      <c r="L7" s="56"/>
      <c r="M7" s="56"/>
      <c r="N7" s="56"/>
      <c r="O7" s="56"/>
      <c r="P7" s="254"/>
      <c r="Q7" s="88"/>
      <c r="R7" s="86"/>
      <c r="S7" s="56"/>
      <c r="T7" s="56"/>
      <c r="U7" s="56"/>
      <c r="V7" s="57">
        <v>0.004</v>
      </c>
      <c r="W7" s="57"/>
      <c r="X7" s="57"/>
      <c r="Y7" s="57"/>
      <c r="Z7" s="57"/>
      <c r="AA7" s="155"/>
      <c r="AB7" s="363"/>
      <c r="AC7" s="364"/>
    </row>
    <row r="8" spans="1:29" ht="12.75" outlineLevel="1">
      <c r="A8" s="64" t="s">
        <v>68</v>
      </c>
      <c r="B8" s="65" t="s">
        <v>13</v>
      </c>
      <c r="C8" s="30" t="s">
        <v>64</v>
      </c>
      <c r="D8" s="342">
        <f t="shared" si="0"/>
        <v>0.15</v>
      </c>
      <c r="E8" s="67">
        <f t="shared" si="2"/>
        <v>0.12</v>
      </c>
      <c r="F8" s="68">
        <f t="shared" si="1"/>
        <v>0.25</v>
      </c>
      <c r="G8" s="118">
        <f t="shared" si="3"/>
        <v>0.15</v>
      </c>
      <c r="H8" s="70"/>
      <c r="I8" s="173">
        <f t="shared" si="4"/>
        <v>0.12</v>
      </c>
      <c r="J8" s="64"/>
      <c r="K8" s="56"/>
      <c r="L8" s="56"/>
      <c r="M8" s="56"/>
      <c r="N8" s="56"/>
      <c r="O8" s="56"/>
      <c r="P8" s="254"/>
      <c r="Q8" s="88"/>
      <c r="R8" s="56"/>
      <c r="S8" s="56"/>
      <c r="T8" s="56"/>
      <c r="U8" s="56"/>
      <c r="V8" s="57"/>
      <c r="W8" s="57">
        <v>0.004</v>
      </c>
      <c r="X8" s="57"/>
      <c r="Y8" s="57"/>
      <c r="Z8" s="57"/>
      <c r="AA8" s="155"/>
      <c r="AB8" s="363"/>
      <c r="AC8" s="364"/>
    </row>
    <row r="9" spans="1:29" ht="12.75" outlineLevel="1">
      <c r="A9" s="64" t="s">
        <v>69</v>
      </c>
      <c r="B9" s="65" t="s">
        <v>13</v>
      </c>
      <c r="C9" s="30" t="s">
        <v>64</v>
      </c>
      <c r="D9" s="342">
        <f t="shared" si="0"/>
        <v>0.15</v>
      </c>
      <c r="E9" s="67">
        <f t="shared" si="2"/>
        <v>0.12</v>
      </c>
      <c r="F9" s="68">
        <f t="shared" si="1"/>
        <v>0.25</v>
      </c>
      <c r="G9" s="118">
        <f t="shared" si="3"/>
        <v>0.15</v>
      </c>
      <c r="H9" s="70"/>
      <c r="I9" s="173">
        <f t="shared" si="4"/>
        <v>0.12</v>
      </c>
      <c r="J9" s="64"/>
      <c r="K9" s="56"/>
      <c r="L9" s="56"/>
      <c r="M9" s="56"/>
      <c r="N9" s="56"/>
      <c r="O9" s="56"/>
      <c r="P9" s="254"/>
      <c r="Q9" s="88"/>
      <c r="R9" s="56"/>
      <c r="S9" s="56"/>
      <c r="T9" s="56"/>
      <c r="U9" s="56"/>
      <c r="V9" s="57"/>
      <c r="W9" s="57"/>
      <c r="X9" s="57">
        <v>0.004</v>
      </c>
      <c r="Y9" s="57"/>
      <c r="Z9" s="57"/>
      <c r="AA9" s="155"/>
      <c r="AB9" s="363"/>
      <c r="AC9" s="364"/>
    </row>
    <row r="10" spans="1:29" ht="12.75" outlineLevel="1">
      <c r="A10" s="64" t="s">
        <v>70</v>
      </c>
      <c r="B10" s="65" t="s">
        <v>13</v>
      </c>
      <c r="C10" s="30" t="s">
        <v>64</v>
      </c>
      <c r="D10" s="342">
        <f t="shared" si="0"/>
        <v>0.15</v>
      </c>
      <c r="E10" s="67">
        <f t="shared" si="2"/>
        <v>0.12</v>
      </c>
      <c r="F10" s="68">
        <f t="shared" si="1"/>
        <v>0.25</v>
      </c>
      <c r="G10" s="118">
        <f t="shared" si="3"/>
        <v>0.15</v>
      </c>
      <c r="H10" s="70"/>
      <c r="I10" s="173">
        <f t="shared" si="4"/>
        <v>0.12</v>
      </c>
      <c r="J10" s="64"/>
      <c r="K10" s="56"/>
      <c r="L10" s="56"/>
      <c r="M10" s="56"/>
      <c r="N10" s="56"/>
      <c r="O10" s="56"/>
      <c r="P10" s="254"/>
      <c r="Q10" s="88"/>
      <c r="R10" s="56"/>
      <c r="S10" s="56"/>
      <c r="T10" s="56"/>
      <c r="U10" s="56"/>
      <c r="V10" s="57"/>
      <c r="W10" s="57"/>
      <c r="X10" s="57"/>
      <c r="Y10" s="57">
        <v>0.004</v>
      </c>
      <c r="Z10" s="57"/>
      <c r="AA10" s="155"/>
      <c r="AB10" s="363"/>
      <c r="AC10" s="364"/>
    </row>
    <row r="11" spans="1:29" ht="12.75" outlineLevel="1">
      <c r="A11" s="64" t="s">
        <v>71</v>
      </c>
      <c r="B11" s="65" t="s">
        <v>13</v>
      </c>
      <c r="C11" s="30" t="s">
        <v>64</v>
      </c>
      <c r="D11" s="342">
        <f t="shared" si="0"/>
        <v>0.15</v>
      </c>
      <c r="E11" s="67">
        <f t="shared" si="2"/>
        <v>0.12</v>
      </c>
      <c r="F11" s="68">
        <f t="shared" si="1"/>
        <v>0.25</v>
      </c>
      <c r="G11" s="118">
        <f t="shared" si="3"/>
        <v>0.15</v>
      </c>
      <c r="H11" s="70"/>
      <c r="I11" s="173">
        <f t="shared" si="4"/>
        <v>0.12</v>
      </c>
      <c r="J11" s="64"/>
      <c r="K11" s="56"/>
      <c r="L11" s="56"/>
      <c r="M11" s="56"/>
      <c r="N11" s="56"/>
      <c r="O11" s="56"/>
      <c r="P11" s="254"/>
      <c r="Q11" s="88"/>
      <c r="R11" s="56"/>
      <c r="S11" s="56"/>
      <c r="T11" s="56"/>
      <c r="U11" s="56"/>
      <c r="V11" s="57"/>
      <c r="W11" s="57"/>
      <c r="X11" s="57"/>
      <c r="Y11" s="57"/>
      <c r="Z11" s="57">
        <v>0.004</v>
      </c>
      <c r="AA11" s="155"/>
      <c r="AB11" s="363"/>
      <c r="AC11" s="364"/>
    </row>
    <row r="12" spans="1:29" ht="12.75" outlineLevel="1">
      <c r="A12" s="64" t="s">
        <v>72</v>
      </c>
      <c r="B12" s="65" t="s">
        <v>13</v>
      </c>
      <c r="C12" s="30" t="s">
        <v>64</v>
      </c>
      <c r="D12" s="342">
        <f t="shared" si="0"/>
        <v>0.15</v>
      </c>
      <c r="E12" s="67">
        <f t="shared" si="2"/>
        <v>0.12</v>
      </c>
      <c r="F12" s="68">
        <f t="shared" si="1"/>
        <v>0.25</v>
      </c>
      <c r="G12" s="118">
        <f t="shared" si="3"/>
        <v>0.15</v>
      </c>
      <c r="H12" s="70"/>
      <c r="I12" s="173">
        <f t="shared" si="4"/>
        <v>0.12</v>
      </c>
      <c r="J12" s="64"/>
      <c r="K12" s="56"/>
      <c r="L12" s="56"/>
      <c r="M12" s="56"/>
      <c r="N12" s="56"/>
      <c r="O12" s="56"/>
      <c r="P12" s="254"/>
      <c r="Q12" s="88"/>
      <c r="R12" s="56"/>
      <c r="S12" s="56"/>
      <c r="T12" s="56"/>
      <c r="U12" s="56"/>
      <c r="V12" s="57"/>
      <c r="W12" s="57"/>
      <c r="X12" s="57"/>
      <c r="Y12" s="57"/>
      <c r="Z12" s="57"/>
      <c r="AA12" s="57">
        <v>0.004</v>
      </c>
      <c r="AB12" s="363"/>
      <c r="AC12" s="364"/>
    </row>
    <row r="13" spans="1:29" s="53" customFormat="1" ht="15.75" outlineLevel="1">
      <c r="A13" s="72" t="s">
        <v>73</v>
      </c>
      <c r="B13" s="73"/>
      <c r="C13" s="73"/>
      <c r="D13" s="343" t="str">
        <f t="shared" si="0"/>
        <v> </v>
      </c>
      <c r="E13" s="119">
        <f>E14+E15+E16+E18+E19</f>
        <v>9.865109653052631</v>
      </c>
      <c r="F13" s="120">
        <f t="shared" si="1"/>
        <v>0.03986553224227708</v>
      </c>
      <c r="G13" s="121">
        <f>SUM(G14:G19)</f>
        <v>10.2583875</v>
      </c>
      <c r="H13" s="61"/>
      <c r="I13" s="174"/>
      <c r="J13" s="156"/>
      <c r="K13" s="51"/>
      <c r="L13" s="51"/>
      <c r="M13" s="51"/>
      <c r="N13" s="51"/>
      <c r="O13" s="51"/>
      <c r="P13" s="260"/>
      <c r="Q13" s="265"/>
      <c r="R13" s="51"/>
      <c r="S13" s="51"/>
      <c r="T13" s="51"/>
      <c r="U13" s="51"/>
      <c r="V13" s="51"/>
      <c r="W13" s="51"/>
      <c r="X13" s="51"/>
      <c r="Y13" s="51"/>
      <c r="Z13" s="51"/>
      <c r="AA13" s="157"/>
      <c r="AB13" s="361"/>
      <c r="AC13" s="362"/>
    </row>
    <row r="14" spans="1:31" ht="12.75" outlineLevel="1">
      <c r="A14" s="64" t="s">
        <v>361</v>
      </c>
      <c r="B14" s="76" t="s">
        <v>13</v>
      </c>
      <c r="C14" s="30" t="s">
        <v>64</v>
      </c>
      <c r="D14" s="344">
        <f t="shared" si="0"/>
        <v>0.15</v>
      </c>
      <c r="E14" s="70">
        <f aca="true" t="shared" si="5" ref="E14:E19">I14</f>
        <v>1.504536</v>
      </c>
      <c r="F14" s="68">
        <f t="shared" si="1"/>
        <v>0.21525008374674964</v>
      </c>
      <c r="G14" s="118">
        <v>1.8283874999999998</v>
      </c>
      <c r="H14" s="70"/>
      <c r="I14" s="173">
        <f aca="true" t="shared" si="6" ref="I14:I19">J14*J$21+K14*K$21+L14*L$21+M14*M$21+N14*N$21+O14*O$21+P14*P$21+Q14*Q$21+R14*R$21+S14*S$21+T14*T$21+U14*U$21+V14*V$21+W14*W$21+X14*X$21+Y14*Y$21+Z14*Z$21+AA14*AA$21</f>
        <v>1.504536</v>
      </c>
      <c r="J14" s="159">
        <v>0.006</v>
      </c>
      <c r="K14" s="57">
        <f>DFB_Typ_2008_07_07!T33/1000</f>
        <v>0.19</v>
      </c>
      <c r="L14" s="57">
        <f>0.08276</f>
        <v>0.08276</v>
      </c>
      <c r="M14" s="57">
        <f>0.049</f>
        <v>0.049</v>
      </c>
      <c r="N14" s="144">
        <f>0.065</f>
        <v>0.065</v>
      </c>
      <c r="O14" s="207">
        <f>0.01375</f>
        <v>0.01375</v>
      </c>
      <c r="P14" s="144">
        <f>0.01271</f>
        <v>0.01271</v>
      </c>
      <c r="Q14" s="266"/>
      <c r="R14" s="143"/>
      <c r="S14" s="143"/>
      <c r="T14" s="57"/>
      <c r="U14" s="57"/>
      <c r="V14" s="57"/>
      <c r="W14" s="57"/>
      <c r="X14" s="57"/>
      <c r="Y14" s="57"/>
      <c r="Z14" s="57"/>
      <c r="AA14" s="155"/>
      <c r="AB14" s="365"/>
      <c r="AC14" s="366"/>
      <c r="AE14" t="s">
        <v>355</v>
      </c>
    </row>
    <row r="15" spans="1:31" ht="12.75" outlineLevel="1">
      <c r="A15" s="64" t="s">
        <v>75</v>
      </c>
      <c r="B15" s="65" t="s">
        <v>13</v>
      </c>
      <c r="C15" s="30" t="s">
        <v>64</v>
      </c>
      <c r="D15" s="342">
        <f t="shared" si="0"/>
        <v>0.15</v>
      </c>
      <c r="E15" s="67">
        <f t="shared" si="5"/>
        <v>1.9029999999999996</v>
      </c>
      <c r="F15" s="68">
        <f t="shared" si="1"/>
        <v>-0.027850761954807936</v>
      </c>
      <c r="G15" s="118">
        <v>1.85</v>
      </c>
      <c r="H15" s="70"/>
      <c r="I15" s="173">
        <f t="shared" si="6"/>
        <v>1.9029999999999996</v>
      </c>
      <c r="J15" s="159"/>
      <c r="K15" s="57"/>
      <c r="L15" s="57"/>
      <c r="M15" s="57"/>
      <c r="N15" s="57"/>
      <c r="O15" s="182"/>
      <c r="P15" s="261"/>
      <c r="Q15" s="267">
        <v>0.003</v>
      </c>
      <c r="R15" s="57">
        <v>0.063</v>
      </c>
      <c r="S15" s="57">
        <v>0.052</v>
      </c>
      <c r="T15" s="326">
        <v>0.0013</v>
      </c>
      <c r="U15" s="326">
        <v>0.0003</v>
      </c>
      <c r="V15" s="57">
        <v>0.0021</v>
      </c>
      <c r="W15" s="57">
        <v>0.0021</v>
      </c>
      <c r="X15" s="57">
        <v>0.0021</v>
      </c>
      <c r="Y15" s="57">
        <v>0.0021</v>
      </c>
      <c r="Z15" s="57">
        <v>0.0021</v>
      </c>
      <c r="AA15" s="57">
        <v>0.0021</v>
      </c>
      <c r="AB15" s="365"/>
      <c r="AC15" s="366"/>
      <c r="AE15" t="s">
        <v>356</v>
      </c>
    </row>
    <row r="16" spans="1:29" ht="12.75" outlineLevel="1">
      <c r="A16" s="64" t="s">
        <v>76</v>
      </c>
      <c r="B16" s="65" t="s">
        <v>13</v>
      </c>
      <c r="C16" s="30" t="s">
        <v>65</v>
      </c>
      <c r="D16" s="342">
        <f t="shared" si="0"/>
        <v>0.25</v>
      </c>
      <c r="E16" s="67">
        <f t="shared" si="5"/>
        <v>0.4875</v>
      </c>
      <c r="F16" s="68">
        <f t="shared" si="1"/>
        <v>0.25000000000000006</v>
      </c>
      <c r="G16" s="118">
        <v>0.609375</v>
      </c>
      <c r="H16" s="70"/>
      <c r="I16" s="173">
        <f t="shared" si="6"/>
        <v>0.4875</v>
      </c>
      <c r="J16" s="159"/>
      <c r="K16" s="57"/>
      <c r="L16" s="57"/>
      <c r="M16" s="57">
        <v>0.0025</v>
      </c>
      <c r="N16" s="57">
        <v>0.005</v>
      </c>
      <c r="O16" s="182">
        <v>0.025</v>
      </c>
      <c r="P16" s="261">
        <v>0.02</v>
      </c>
      <c r="Q16" s="267"/>
      <c r="R16" s="143"/>
      <c r="S16" s="143"/>
      <c r="T16" s="57"/>
      <c r="U16" s="57"/>
      <c r="V16" s="57"/>
      <c r="W16" s="57"/>
      <c r="X16" s="57"/>
      <c r="Y16" s="57"/>
      <c r="Z16" s="57"/>
      <c r="AA16" s="155"/>
      <c r="AB16" s="365"/>
      <c r="AC16" s="366"/>
    </row>
    <row r="17" spans="1:29" ht="12.75" hidden="1" outlineLevel="1">
      <c r="A17" s="64" t="s">
        <v>85</v>
      </c>
      <c r="B17" s="65"/>
      <c r="C17" s="30" t="s">
        <v>65</v>
      </c>
      <c r="D17" s="342">
        <f t="shared" si="0"/>
        <v>0.25</v>
      </c>
      <c r="E17" s="67">
        <f t="shared" si="5"/>
        <v>0.07200000000000001</v>
      </c>
      <c r="F17" s="68">
        <f t="shared" si="1"/>
        <v>-1</v>
      </c>
      <c r="G17" s="118"/>
      <c r="H17" s="70"/>
      <c r="I17" s="173">
        <f t="shared" si="6"/>
        <v>0.07200000000000001</v>
      </c>
      <c r="J17" s="159"/>
      <c r="K17" s="57"/>
      <c r="L17" s="323">
        <f>L48*L27</f>
        <v>0.02</v>
      </c>
      <c r="M17" s="57"/>
      <c r="N17" s="57"/>
      <c r="O17" s="57"/>
      <c r="P17" s="144"/>
      <c r="Q17" s="266"/>
      <c r="R17" s="57"/>
      <c r="S17" s="57"/>
      <c r="T17" s="57"/>
      <c r="U17" s="57"/>
      <c r="V17" s="57"/>
      <c r="W17" s="57"/>
      <c r="X17" s="57"/>
      <c r="Y17" s="57"/>
      <c r="Z17" s="57"/>
      <c r="AA17" s="155"/>
      <c r="AB17" s="365"/>
      <c r="AC17" s="366"/>
    </row>
    <row r="18" spans="1:31" ht="12.75" outlineLevel="1">
      <c r="A18" s="64" t="s">
        <v>77</v>
      </c>
      <c r="B18" s="65" t="s">
        <v>13</v>
      </c>
      <c r="C18" s="30" t="s">
        <v>64</v>
      </c>
      <c r="D18" s="342">
        <f t="shared" si="0"/>
        <v>0.15</v>
      </c>
      <c r="E18" s="67">
        <f t="shared" si="5"/>
        <v>1.2375791999999999</v>
      </c>
      <c r="F18" s="68">
        <f t="shared" si="1"/>
        <v>0.6887808069172462</v>
      </c>
      <c r="G18" s="118">
        <v>2.09</v>
      </c>
      <c r="H18" s="70"/>
      <c r="I18" s="173">
        <f t="shared" si="6"/>
        <v>1.2375791999999999</v>
      </c>
      <c r="J18" s="159">
        <f>0.004*1.1</f>
        <v>0.0044</v>
      </c>
      <c r="K18" s="57">
        <f>DCB_2008_08_18!$H$24*(1+L28)/1000</f>
        <v>0.250044</v>
      </c>
      <c r="L18" s="57">
        <f>0.135+L17</f>
        <v>0.155</v>
      </c>
      <c r="M18" s="57">
        <f>0.015*1.1</f>
        <v>0.0165</v>
      </c>
      <c r="N18" s="144">
        <f>0.01*1.1</f>
        <v>0.011000000000000001</v>
      </c>
      <c r="O18" s="185">
        <v>0.0035</v>
      </c>
      <c r="P18" s="115">
        <v>0.0035</v>
      </c>
      <c r="Q18" s="266"/>
      <c r="R18" s="57"/>
      <c r="S18" s="57"/>
      <c r="T18" s="57"/>
      <c r="U18" s="57"/>
      <c r="V18" s="57"/>
      <c r="W18" s="57"/>
      <c r="X18" s="57"/>
      <c r="Y18" s="57"/>
      <c r="Z18" s="57"/>
      <c r="AA18" s="155"/>
      <c r="AB18" s="365"/>
      <c r="AC18" s="366"/>
      <c r="AE18" t="s">
        <v>355</v>
      </c>
    </row>
    <row r="19" spans="1:29" ht="12.75" outlineLevel="1">
      <c r="A19" s="80" t="s">
        <v>78</v>
      </c>
      <c r="B19" s="81" t="s">
        <v>13</v>
      </c>
      <c r="C19" s="330" t="s">
        <v>64</v>
      </c>
      <c r="D19" s="345">
        <f t="shared" si="0"/>
        <v>0.15</v>
      </c>
      <c r="E19" s="84">
        <f t="shared" si="5"/>
        <v>4.732494453052631</v>
      </c>
      <c r="F19" s="135">
        <f t="shared" si="1"/>
        <v>-0.1800043215059965</v>
      </c>
      <c r="G19" s="136">
        <f>4.49-G16</f>
        <v>3.880625</v>
      </c>
      <c r="H19" s="70"/>
      <c r="I19" s="173">
        <f t="shared" si="6"/>
        <v>4.732494453052631</v>
      </c>
      <c r="J19" s="271">
        <f>SUM(J6:J18)*$L$24</f>
        <v>0.006864</v>
      </c>
      <c r="K19" s="272">
        <f>SUM(K6:K18)*$L$24</f>
        <v>0.29042904</v>
      </c>
      <c r="L19" s="142">
        <f>(L14+L18)*$L$24</f>
        <v>0.1569216</v>
      </c>
      <c r="M19" s="207">
        <f aca="true" t="shared" si="7" ref="M19:S19">SUM(M6:M18)*$L$24</f>
        <v>0.04488</v>
      </c>
      <c r="N19" s="207">
        <f t="shared" si="7"/>
        <v>0.05346000000000001</v>
      </c>
      <c r="O19" s="207">
        <f t="shared" si="7"/>
        <v>0.027885000000000004</v>
      </c>
      <c r="P19" s="273">
        <f t="shared" si="7"/>
        <v>0.023898600000000006</v>
      </c>
      <c r="Q19" s="271">
        <f t="shared" si="7"/>
        <v>0.00198</v>
      </c>
      <c r="R19" s="207">
        <f t="shared" si="7"/>
        <v>0.04158</v>
      </c>
      <c r="S19" s="207">
        <f t="shared" si="7"/>
        <v>0.03432</v>
      </c>
      <c r="T19" s="327">
        <f>SUM(T6:T18)*$W$24+$Z$25/T21</f>
        <v>0.0031654970760233918</v>
      </c>
      <c r="U19" s="327">
        <f>SUM(U6:U18)*$W$24+$Z$25/U21</f>
        <v>0.001756140350877193</v>
      </c>
      <c r="V19" s="207">
        <f aca="true" t="shared" si="8" ref="V19:AA19">SUM(V6:V18)*$L$24</f>
        <v>0.004026</v>
      </c>
      <c r="W19" s="207">
        <f t="shared" si="8"/>
        <v>0.004026</v>
      </c>
      <c r="X19" s="207">
        <f t="shared" si="8"/>
        <v>0.004026</v>
      </c>
      <c r="Y19" s="207">
        <f t="shared" si="8"/>
        <v>0.004026</v>
      </c>
      <c r="Z19" s="207">
        <f t="shared" si="8"/>
        <v>0.004026</v>
      </c>
      <c r="AA19" s="274">
        <f t="shared" si="8"/>
        <v>0.004026</v>
      </c>
      <c r="AB19" s="149"/>
      <c r="AC19" s="87"/>
    </row>
    <row r="20" spans="1:29" ht="12.75">
      <c r="A20" s="88"/>
      <c r="B20" s="39"/>
      <c r="C20" s="66"/>
      <c r="D20" s="59"/>
      <c r="E20" s="67"/>
      <c r="F20" s="68"/>
      <c r="G20" s="69"/>
      <c r="H20" s="70"/>
      <c r="I20" s="175"/>
      <c r="J20" s="162"/>
      <c r="K20" s="89"/>
      <c r="L20" s="89"/>
      <c r="M20" s="89"/>
      <c r="N20" s="89"/>
      <c r="O20" s="89"/>
      <c r="P20" s="89"/>
      <c r="Q20" s="162"/>
      <c r="R20" s="257"/>
      <c r="S20" s="89"/>
      <c r="T20" s="89"/>
      <c r="U20" s="89"/>
      <c r="V20" s="89"/>
      <c r="W20" s="89"/>
      <c r="X20" s="89"/>
      <c r="Y20" s="89"/>
      <c r="Z20" s="89"/>
      <c r="AA20" s="163"/>
      <c r="AB20" s="90"/>
      <c r="AC20" s="90"/>
    </row>
    <row r="21" spans="1:29" s="53" customFormat="1" ht="16.5" thickBot="1">
      <c r="A21" s="91" t="s">
        <v>79</v>
      </c>
      <c r="B21" s="92"/>
      <c r="C21" s="92"/>
      <c r="D21" s="238"/>
      <c r="E21" s="239">
        <f>SUM(E13+E6)</f>
        <v>10.585109653052632</v>
      </c>
      <c r="F21" s="240">
        <f>(G21-E21)/E21</f>
        <v>0.054158895442527714</v>
      </c>
      <c r="G21" s="241">
        <f>SUM(G13+G6)</f>
        <v>11.1583875</v>
      </c>
      <c r="H21" s="94"/>
      <c r="I21" s="176">
        <f>SUM(I6:I12)+SUM(I14:I16)+SUM(I18:I19)</f>
        <v>10.58510965305263</v>
      </c>
      <c r="J21" s="164">
        <v>5</v>
      </c>
      <c r="K21" s="97">
        <v>1.8</v>
      </c>
      <c r="L21" s="97">
        <v>3.6</v>
      </c>
      <c r="M21" s="97">
        <v>5</v>
      </c>
      <c r="N21" s="97">
        <v>5</v>
      </c>
      <c r="O21" s="97">
        <v>10</v>
      </c>
      <c r="P21" s="262">
        <v>10</v>
      </c>
      <c r="Q21" s="268">
        <v>5</v>
      </c>
      <c r="R21" s="97">
        <v>10</v>
      </c>
      <c r="S21" s="97">
        <v>10</v>
      </c>
      <c r="T21" s="97">
        <v>225</v>
      </c>
      <c r="U21" s="97">
        <v>225</v>
      </c>
      <c r="V21" s="97">
        <v>30</v>
      </c>
      <c r="W21" s="97">
        <v>30</v>
      </c>
      <c r="X21" s="97">
        <v>30</v>
      </c>
      <c r="Y21" s="97">
        <v>30</v>
      </c>
      <c r="Z21" s="97">
        <v>30</v>
      </c>
      <c r="AA21" s="165">
        <v>30</v>
      </c>
      <c r="AB21" s="150" t="s">
        <v>80</v>
      </c>
      <c r="AC21" s="99"/>
    </row>
    <row r="22" spans="1:29" s="53" customFormat="1" ht="16.5" thickBot="1">
      <c r="A22" s="100"/>
      <c r="B22" s="63"/>
      <c r="C22" s="101"/>
      <c r="D22" s="242" t="s">
        <v>252</v>
      </c>
      <c r="E22" s="244">
        <f>I52</f>
        <v>17.329458824059714</v>
      </c>
      <c r="F22" s="331">
        <f>(G22-E22)/E22</f>
        <v>0.33720275025711033</v>
      </c>
      <c r="G22" s="245">
        <v>23.173</v>
      </c>
      <c r="H22" s="94"/>
      <c r="I22" s="177" t="s">
        <v>258</v>
      </c>
      <c r="J22" s="166">
        <f>SUM(J6:J12)+SUM(J14:J18)</f>
        <v>0.0104</v>
      </c>
      <c r="K22" s="104">
        <f>SUM(K6:K12)+SUM(K14:K18)</f>
        <v>0.440044</v>
      </c>
      <c r="L22" s="104">
        <f>L14+L18</f>
        <v>0.23776</v>
      </c>
      <c r="M22" s="104">
        <f aca="true" t="shared" si="9" ref="M22:AA22">SUM(M6:M12)+SUM(M14:M18)</f>
        <v>0.068</v>
      </c>
      <c r="N22" s="104">
        <f t="shared" si="9"/>
        <v>0.081</v>
      </c>
      <c r="O22" s="104">
        <f t="shared" si="9"/>
        <v>0.04225</v>
      </c>
      <c r="P22" s="116">
        <f t="shared" si="9"/>
        <v>0.036210000000000006</v>
      </c>
      <c r="Q22" s="269">
        <f t="shared" si="9"/>
        <v>0.003</v>
      </c>
      <c r="R22" s="258">
        <f t="shared" si="9"/>
        <v>0.063</v>
      </c>
      <c r="S22" s="104">
        <f t="shared" si="9"/>
        <v>0.052</v>
      </c>
      <c r="T22" s="328">
        <f t="shared" si="9"/>
        <v>0.0013</v>
      </c>
      <c r="U22" s="328">
        <f t="shared" si="9"/>
        <v>0.0003</v>
      </c>
      <c r="V22" s="104">
        <f t="shared" si="9"/>
        <v>0.0060999999999999995</v>
      </c>
      <c r="W22" s="104">
        <f t="shared" si="9"/>
        <v>0.0060999999999999995</v>
      </c>
      <c r="X22" s="104">
        <f t="shared" si="9"/>
        <v>0.0060999999999999995</v>
      </c>
      <c r="Y22" s="104">
        <f t="shared" si="9"/>
        <v>0.0060999999999999995</v>
      </c>
      <c r="Z22" s="104">
        <f t="shared" si="9"/>
        <v>0.0060999999999999995</v>
      </c>
      <c r="AA22" s="167">
        <f t="shared" si="9"/>
        <v>0.0060999999999999995</v>
      </c>
      <c r="AB22" s="150" t="s">
        <v>81</v>
      </c>
      <c r="AC22" s="99"/>
    </row>
    <row r="23" spans="1:29" s="53" customFormat="1" ht="16.5" thickBot="1">
      <c r="A23"/>
      <c r="B23" s="66"/>
      <c r="H23" s="105"/>
      <c r="I23" s="178"/>
      <c r="J23" s="168">
        <f aca="true" t="shared" si="10" ref="J23:AA23">J21*J22</f>
        <v>0.052</v>
      </c>
      <c r="K23" s="181">
        <f t="shared" si="10"/>
        <v>0.7920792</v>
      </c>
      <c r="L23" s="169">
        <f t="shared" si="10"/>
        <v>0.855936</v>
      </c>
      <c r="M23" s="169">
        <f t="shared" si="10"/>
        <v>0.34</v>
      </c>
      <c r="N23" s="169">
        <f t="shared" si="10"/>
        <v>0.405</v>
      </c>
      <c r="O23" s="169">
        <f t="shared" si="10"/>
        <v>0.42250000000000004</v>
      </c>
      <c r="P23" s="263">
        <f t="shared" si="10"/>
        <v>0.3621000000000001</v>
      </c>
      <c r="Q23" s="270">
        <f t="shared" si="10"/>
        <v>0.015</v>
      </c>
      <c r="R23" s="169">
        <f t="shared" si="10"/>
        <v>0.63</v>
      </c>
      <c r="S23" s="169">
        <f t="shared" si="10"/>
        <v>0.52</v>
      </c>
      <c r="T23" s="169">
        <f t="shared" si="10"/>
        <v>0.2925</v>
      </c>
      <c r="U23" s="169">
        <f t="shared" si="10"/>
        <v>0.06749999999999999</v>
      </c>
      <c r="V23" s="169">
        <f>V21*V22</f>
        <v>0.183</v>
      </c>
      <c r="W23" s="169">
        <f t="shared" si="10"/>
        <v>0.183</v>
      </c>
      <c r="X23" s="169">
        <f t="shared" si="10"/>
        <v>0.183</v>
      </c>
      <c r="Y23" s="169">
        <f t="shared" si="10"/>
        <v>0.183</v>
      </c>
      <c r="Z23" s="169">
        <f t="shared" si="10"/>
        <v>0.183</v>
      </c>
      <c r="AA23" s="170">
        <f t="shared" si="10"/>
        <v>0.183</v>
      </c>
      <c r="AB23" s="151" t="s">
        <v>4</v>
      </c>
      <c r="AC23" s="110"/>
    </row>
    <row r="24" spans="1:29" s="53" customFormat="1" ht="15.75" outlineLevel="1">
      <c r="A24"/>
      <c r="B24" s="39"/>
      <c r="C24" s="63"/>
      <c r="D24" s="63"/>
      <c r="E24" s="112"/>
      <c r="F24" s="358"/>
      <c r="G24" s="112"/>
      <c r="H24" s="94"/>
      <c r="I24" s="1" t="s">
        <v>82</v>
      </c>
      <c r="L24" s="112">
        <v>0.66</v>
      </c>
      <c r="M24" s="113"/>
      <c r="N24" s="79" t="s">
        <v>261</v>
      </c>
      <c r="P24" s="79">
        <f>1/(1+L24)</f>
        <v>0.6024096385542168</v>
      </c>
      <c r="Q24" s="53" t="s">
        <v>262</v>
      </c>
      <c r="S24" s="1" t="s">
        <v>326</v>
      </c>
      <c r="T24" s="319"/>
      <c r="U24" s="319"/>
      <c r="V24" s="319"/>
      <c r="W24" s="1">
        <f>(1/Z24-Z25/(T21*0.006)-1)</f>
        <v>1.409356725146199</v>
      </c>
      <c r="X24" s="79" t="s">
        <v>261</v>
      </c>
      <c r="Z24" s="318">
        <v>0.38</v>
      </c>
      <c r="AA24" s="53" t="s">
        <v>262</v>
      </c>
      <c r="AC24" s="71"/>
    </row>
    <row r="25" spans="2:27" ht="12.75" outlineLevel="1">
      <c r="B25" s="39"/>
      <c r="C25" s="65"/>
      <c r="D25" s="114"/>
      <c r="E25" s="115"/>
      <c r="F25" s="70"/>
      <c r="G25" s="116"/>
      <c r="I25" s="113" t="s">
        <v>125</v>
      </c>
      <c r="O25" s="138"/>
      <c r="X25" t="s">
        <v>353</v>
      </c>
      <c r="Z25">
        <v>0.3</v>
      </c>
      <c r="AA25" t="s">
        <v>44</v>
      </c>
    </row>
    <row r="26" spans="1:28" ht="38.25" outlineLevel="1">
      <c r="A26" s="133" t="s">
        <v>107</v>
      </c>
      <c r="B26" s="134" t="s">
        <v>108</v>
      </c>
      <c r="C26" s="134" t="s">
        <v>112</v>
      </c>
      <c r="D26" s="418" t="s">
        <v>101</v>
      </c>
      <c r="E26" s="390"/>
      <c r="F26" s="390"/>
      <c r="G26" s="390"/>
      <c r="H26" s="390"/>
      <c r="I26" s="117"/>
      <c r="M26" s="1"/>
      <c r="N26" s="1"/>
      <c r="AB26" s="111"/>
    </row>
    <row r="27" spans="1:13" ht="12.75" outlineLevel="1">
      <c r="A27" s="20" t="s">
        <v>96</v>
      </c>
      <c r="B27" s="21">
        <f>G21</f>
        <v>11.1583875</v>
      </c>
      <c r="C27" s="131">
        <f>G22/B32</f>
        <v>1.0533181818181818</v>
      </c>
      <c r="D27" s="450" t="s">
        <v>253</v>
      </c>
      <c r="E27" s="450"/>
      <c r="F27" s="450"/>
      <c r="G27" s="450"/>
      <c r="H27" s="450"/>
      <c r="I27"/>
      <c r="L27" s="324">
        <v>0.5</v>
      </c>
      <c r="M27" t="s">
        <v>346</v>
      </c>
    </row>
    <row r="28" spans="1:21" ht="12.75" outlineLevel="1">
      <c r="A28" s="132" t="s">
        <v>313</v>
      </c>
      <c r="B28" s="21">
        <v>10</v>
      </c>
      <c r="C28" s="131">
        <f>35/F38</f>
        <v>0.2857142857142857</v>
      </c>
      <c r="D28" s="449" t="s">
        <v>333</v>
      </c>
      <c r="E28" s="450"/>
      <c r="F28" s="450"/>
      <c r="G28" s="450"/>
      <c r="H28" s="450"/>
      <c r="L28" s="324">
        <v>0.34</v>
      </c>
      <c r="M28" t="s">
        <v>347</v>
      </c>
      <c r="U28" s="113"/>
    </row>
    <row r="29" spans="1:9" ht="12.75" outlineLevel="1">
      <c r="A29" s="132" t="s">
        <v>99</v>
      </c>
      <c r="B29" s="21">
        <f>C37*B33</f>
        <v>11.804545454545453</v>
      </c>
      <c r="C29" s="21">
        <f>MAX(C36,C39)</f>
        <v>1.9125683060109289</v>
      </c>
      <c r="D29" s="449" t="s">
        <v>115</v>
      </c>
      <c r="E29" s="450"/>
      <c r="F29" s="450"/>
      <c r="G29" s="450"/>
      <c r="H29" s="450"/>
      <c r="I29" s="79"/>
    </row>
    <row r="30" spans="1:13" ht="12.75" outlineLevel="1">
      <c r="A30" s="132" t="s">
        <v>100</v>
      </c>
      <c r="B30" s="21">
        <f>C37*B33</f>
        <v>11.804545454545453</v>
      </c>
      <c r="C30" s="21">
        <f>MAX(C35,C38,C39)</f>
        <v>2.2580645161290325</v>
      </c>
      <c r="D30" s="449" t="s">
        <v>116</v>
      </c>
      <c r="E30" s="450"/>
      <c r="F30" s="450"/>
      <c r="G30" s="450"/>
      <c r="H30" s="450"/>
      <c r="I30" s="79"/>
      <c r="M30" s="39"/>
    </row>
    <row r="31" ht="12.75" outlineLevel="1">
      <c r="M31" s="39"/>
    </row>
    <row r="32" spans="1:3" ht="12.75" outlineLevel="1">
      <c r="A32" s="113" t="s">
        <v>103</v>
      </c>
      <c r="B32" s="39">
        <v>22</v>
      </c>
      <c r="C32" s="79" t="s">
        <v>105</v>
      </c>
    </row>
    <row r="33" spans="1:9" ht="12.75" customHeight="1" outlineLevel="1">
      <c r="A33" s="113" t="s">
        <v>104</v>
      </c>
      <c r="B33">
        <v>35</v>
      </c>
      <c r="C33" t="s">
        <v>105</v>
      </c>
      <c r="I33" s="113" t="s">
        <v>250</v>
      </c>
    </row>
    <row r="34" spans="1:29" ht="13.5" customHeight="1" outlineLevel="1">
      <c r="A34" s="113"/>
      <c r="C34"/>
      <c r="I34" s="427" t="s">
        <v>39</v>
      </c>
      <c r="J34" s="429" t="s">
        <v>40</v>
      </c>
      <c r="K34" s="429"/>
      <c r="L34" s="430"/>
      <c r="M34" s="430"/>
      <c r="N34" s="430"/>
      <c r="O34" s="430"/>
      <c r="P34" s="430"/>
      <c r="Q34" s="430"/>
      <c r="R34" s="430"/>
      <c r="S34" s="430"/>
      <c r="T34" s="430"/>
      <c r="U34" s="430"/>
      <c r="V34" s="430"/>
      <c r="W34" s="430"/>
      <c r="X34" s="430"/>
      <c r="Y34" s="430"/>
      <c r="Z34" s="430"/>
      <c r="AA34" s="430"/>
      <c r="AB34" s="430"/>
      <c r="AC34" s="431"/>
    </row>
    <row r="35" spans="1:29" ht="13.5" outlineLevel="1" thickBot="1">
      <c r="A35" t="s">
        <v>273</v>
      </c>
      <c r="B35" s="2"/>
      <c r="C35" s="130">
        <f>2*B33/F35</f>
        <v>2.2580645161290325</v>
      </c>
      <c r="D35" s="127" t="s">
        <v>111</v>
      </c>
      <c r="F35" s="129">
        <v>31</v>
      </c>
      <c r="G35" s="113" t="s">
        <v>102</v>
      </c>
      <c r="I35" s="428"/>
      <c r="J35" s="432"/>
      <c r="K35" s="432"/>
      <c r="L35" s="432"/>
      <c r="M35" s="432"/>
      <c r="N35" s="432"/>
      <c r="O35" s="432"/>
      <c r="P35" s="432"/>
      <c r="Q35" s="432"/>
      <c r="R35" s="432"/>
      <c r="S35" s="432"/>
      <c r="T35" s="432"/>
      <c r="U35" s="432"/>
      <c r="V35" s="432"/>
      <c r="W35" s="432"/>
      <c r="X35" s="432"/>
      <c r="Y35" s="432"/>
      <c r="Z35" s="432"/>
      <c r="AA35" s="432"/>
      <c r="AB35" s="433"/>
      <c r="AC35" s="434"/>
    </row>
    <row r="36" spans="1:29" ht="12.75" outlineLevel="1">
      <c r="A36" s="79" t="s">
        <v>271</v>
      </c>
      <c r="B36" s="2"/>
      <c r="C36" s="128">
        <f>B33/F36</f>
        <v>1.9125683060109289</v>
      </c>
      <c r="D36" s="127" t="s">
        <v>111</v>
      </c>
      <c r="E36" s="113"/>
      <c r="F36" s="129">
        <f>36.6/2</f>
        <v>18.3</v>
      </c>
      <c r="G36" s="113" t="s">
        <v>102</v>
      </c>
      <c r="I36" s="171" t="s">
        <v>46</v>
      </c>
      <c r="J36" s="152" t="str">
        <f aca="true" t="shared" si="11" ref="J36:AA36">J5</f>
        <v>+5V D</v>
      </c>
      <c r="K36" s="152" t="str">
        <f t="shared" si="11"/>
        <v> +1.8V D</v>
      </c>
      <c r="L36" s="152" t="str">
        <f t="shared" si="11"/>
        <v>+3.6D (1)</v>
      </c>
      <c r="M36" s="152" t="str">
        <f t="shared" si="11"/>
        <v>+5V A</v>
      </c>
      <c r="N36" s="152" t="str">
        <f t="shared" si="11"/>
        <v>-5V A</v>
      </c>
      <c r="O36" s="152" t="str">
        <f t="shared" si="11"/>
        <v>+10VA</v>
      </c>
      <c r="P36" s="152" t="str">
        <f t="shared" si="11"/>
        <v>-10VA</v>
      </c>
      <c r="Q36" s="152" t="str">
        <f t="shared" si="11"/>
        <v>+5V D</v>
      </c>
      <c r="R36" s="152" t="str">
        <f t="shared" si="11"/>
        <v>+10V A</v>
      </c>
      <c r="S36" s="152" t="str">
        <f t="shared" si="11"/>
        <v>-10V A</v>
      </c>
      <c r="T36" s="152" t="str">
        <f t="shared" si="11"/>
        <v>+225V</v>
      </c>
      <c r="U36" s="152" t="str">
        <f t="shared" si="11"/>
        <v>-225V</v>
      </c>
      <c r="V36" s="152" t="str">
        <f t="shared" si="11"/>
        <v>+/-15F1</v>
      </c>
      <c r="W36" s="152" t="str">
        <f t="shared" si="11"/>
        <v>+/-15F2</v>
      </c>
      <c r="X36" s="152" t="str">
        <f t="shared" si="11"/>
        <v>+/-15F3</v>
      </c>
      <c r="Y36" s="152" t="str">
        <f t="shared" si="11"/>
        <v>+/-15F4</v>
      </c>
      <c r="Z36" s="152" t="str">
        <f t="shared" si="11"/>
        <v>+/-10F5</v>
      </c>
      <c r="AA36" s="152" t="str">
        <f t="shared" si="11"/>
        <v>+/-15F6</v>
      </c>
      <c r="AB36" s="145" t="s">
        <v>62</v>
      </c>
      <c r="AC36" s="50" t="s">
        <v>63</v>
      </c>
    </row>
    <row r="37" spans="1:29" ht="15" outlineLevel="1">
      <c r="A37" s="79" t="s">
        <v>109</v>
      </c>
      <c r="B37" s="124"/>
      <c r="C37" s="128">
        <f>B33/F37</f>
        <v>0.3372727272727272</v>
      </c>
      <c r="D37" s="127" t="s">
        <v>111</v>
      </c>
      <c r="E37" s="113"/>
      <c r="F37" s="126">
        <f>22/0.212</f>
        <v>103.77358490566039</v>
      </c>
      <c r="G37" s="113" t="s">
        <v>102</v>
      </c>
      <c r="I37" s="172"/>
      <c r="J37" s="426" t="s">
        <v>128</v>
      </c>
      <c r="K37" s="424"/>
      <c r="L37" s="424"/>
      <c r="M37" s="424"/>
      <c r="N37" s="424"/>
      <c r="O37" s="424"/>
      <c r="P37" s="424"/>
      <c r="Q37" s="426" t="s">
        <v>5</v>
      </c>
      <c r="R37" s="424"/>
      <c r="S37" s="424"/>
      <c r="T37" s="424"/>
      <c r="U37" s="424"/>
      <c r="V37" s="424"/>
      <c r="W37" s="424"/>
      <c r="X37" s="424"/>
      <c r="Y37" s="424"/>
      <c r="Z37" s="424"/>
      <c r="AA37" s="425"/>
      <c r="AB37" s="146"/>
      <c r="AC37" s="52"/>
    </row>
    <row r="38" spans="1:29" ht="12.75" outlineLevel="1">
      <c r="A38" s="79" t="s">
        <v>314</v>
      </c>
      <c r="C38" s="125">
        <f>B33/F38</f>
        <v>0.2857142857142857</v>
      </c>
      <c r="D38" s="127" t="s">
        <v>111</v>
      </c>
      <c r="E38" s="113"/>
      <c r="F38" s="126">
        <f>(B33*B33)/B28</f>
        <v>122.5</v>
      </c>
      <c r="G38" s="113" t="s">
        <v>102</v>
      </c>
      <c r="I38" s="173">
        <f aca="true" t="shared" si="12" ref="I38:I43">J38*J$21+K38*K$21+L38*L$21+M38*M$21+N38*N$21+O38*O$21+P38*P$21+Q38*Q$21+R38*R$21+S38*S$21+T38*T$21+U38*U$21+V38*V$21+W38*W$21+X38*X$21+Y38*Y$21+Z38*Z$21+AA38*AA$21</f>
        <v>0.18</v>
      </c>
      <c r="J38" s="64"/>
      <c r="K38" s="56"/>
      <c r="L38" s="56"/>
      <c r="M38" s="56"/>
      <c r="N38" s="56"/>
      <c r="O38" s="56"/>
      <c r="P38" s="254"/>
      <c r="Q38" s="88"/>
      <c r="R38" s="86"/>
      <c r="S38" s="56"/>
      <c r="T38" s="56"/>
      <c r="U38" s="254"/>
      <c r="V38" s="142">
        <f>V7*1.5</f>
        <v>0.006</v>
      </c>
      <c r="W38" s="182"/>
      <c r="X38" s="182"/>
      <c r="Y38" s="182"/>
      <c r="Z38" s="182"/>
      <c r="AA38" s="183"/>
      <c r="AB38" s="147">
        <f>0.1</f>
        <v>0.1</v>
      </c>
      <c r="AC38" s="60">
        <v>2</v>
      </c>
    </row>
    <row r="39" spans="1:29" ht="12.75" outlineLevel="1">
      <c r="A39" s="79" t="s">
        <v>272</v>
      </c>
      <c r="C39" s="284">
        <v>1.5</v>
      </c>
      <c r="D39" s="285" t="s">
        <v>312</v>
      </c>
      <c r="I39" s="173">
        <f t="shared" si="12"/>
        <v>0.18</v>
      </c>
      <c r="J39" s="64"/>
      <c r="K39" s="56"/>
      <c r="L39" s="56"/>
      <c r="M39" s="56"/>
      <c r="N39" s="56"/>
      <c r="O39" s="56"/>
      <c r="P39" s="254"/>
      <c r="Q39" s="88"/>
      <c r="R39" s="56"/>
      <c r="S39" s="56"/>
      <c r="T39" s="56"/>
      <c r="U39" s="56"/>
      <c r="V39" s="261"/>
      <c r="W39" s="182">
        <f>W8*1.5</f>
        <v>0.006</v>
      </c>
      <c r="X39" s="182"/>
      <c r="Y39" s="182"/>
      <c r="Z39" s="182"/>
      <c r="AA39" s="183"/>
      <c r="AB39" s="147">
        <f>0.1</f>
        <v>0.1</v>
      </c>
      <c r="AC39" s="60">
        <v>2</v>
      </c>
    </row>
    <row r="40" spans="4:29" ht="12.75" outlineLevel="1">
      <c r="D40" s="285" t="s">
        <v>274</v>
      </c>
      <c r="I40" s="173">
        <f t="shared" si="12"/>
        <v>0.18</v>
      </c>
      <c r="J40" s="64"/>
      <c r="K40" s="56"/>
      <c r="L40" s="56"/>
      <c r="M40" s="56"/>
      <c r="N40" s="56"/>
      <c r="O40" s="56"/>
      <c r="P40" s="254"/>
      <c r="Q40" s="88"/>
      <c r="R40" s="56"/>
      <c r="S40" s="56"/>
      <c r="T40" s="56"/>
      <c r="U40" s="56"/>
      <c r="V40" s="182"/>
      <c r="W40" s="261"/>
      <c r="X40" s="182">
        <f>X9*1.5</f>
        <v>0.006</v>
      </c>
      <c r="Y40" s="182"/>
      <c r="Z40" s="182"/>
      <c r="AA40" s="183"/>
      <c r="AB40" s="147">
        <f>0.1</f>
        <v>0.1</v>
      </c>
      <c r="AC40" s="60">
        <v>2</v>
      </c>
    </row>
    <row r="41" spans="9:29" ht="12.75" outlineLevel="1">
      <c r="I41" s="173">
        <f t="shared" si="12"/>
        <v>0.18</v>
      </c>
      <c r="J41" s="64"/>
      <c r="K41" s="56"/>
      <c r="L41" s="56"/>
      <c r="M41" s="56"/>
      <c r="N41" s="56"/>
      <c r="O41" s="56"/>
      <c r="P41" s="254"/>
      <c r="Q41" s="88"/>
      <c r="R41" s="56"/>
      <c r="S41" s="56"/>
      <c r="T41" s="56"/>
      <c r="U41" s="56"/>
      <c r="V41" s="182"/>
      <c r="W41" s="182"/>
      <c r="X41" s="261"/>
      <c r="Y41" s="182">
        <f>Y10*1.5</f>
        <v>0.006</v>
      </c>
      <c r="Z41" s="182"/>
      <c r="AA41" s="183"/>
      <c r="AB41" s="147">
        <f>0.1</f>
        <v>0.1</v>
      </c>
      <c r="AC41" s="60">
        <v>2</v>
      </c>
    </row>
    <row r="42" spans="9:29" ht="12.75" outlineLevel="1">
      <c r="I42" s="173">
        <f t="shared" si="12"/>
        <v>0.18</v>
      </c>
      <c r="J42" s="64"/>
      <c r="K42" s="56"/>
      <c r="L42" s="56"/>
      <c r="M42" s="56"/>
      <c r="N42" s="56"/>
      <c r="O42" s="56"/>
      <c r="P42" s="254"/>
      <c r="Q42" s="88"/>
      <c r="R42" s="56"/>
      <c r="S42" s="56"/>
      <c r="T42" s="56"/>
      <c r="U42" s="56"/>
      <c r="V42" s="182"/>
      <c r="W42" s="182"/>
      <c r="X42" s="182"/>
      <c r="Y42" s="261"/>
      <c r="Z42" s="182">
        <f>Z11*1.5</f>
        <v>0.006</v>
      </c>
      <c r="AA42" s="183"/>
      <c r="AB42" s="147">
        <f>28/31</f>
        <v>0.9032258064516129</v>
      </c>
      <c r="AC42" s="60"/>
    </row>
    <row r="43" spans="4:29" ht="12.75" outlineLevel="1">
      <c r="D43" s="16">
        <f>B33*B33/F36</f>
        <v>66.93989071038251</v>
      </c>
      <c r="I43" s="173">
        <f t="shared" si="12"/>
        <v>0.18</v>
      </c>
      <c r="J43" s="64"/>
      <c r="K43" s="56"/>
      <c r="L43" s="56"/>
      <c r="M43" s="56"/>
      <c r="N43" s="56"/>
      <c r="O43" s="56"/>
      <c r="P43" s="254"/>
      <c r="Q43" s="88"/>
      <c r="R43" s="56"/>
      <c r="S43" s="56"/>
      <c r="T43" s="56"/>
      <c r="U43" s="56"/>
      <c r="V43" s="182"/>
      <c r="W43" s="182"/>
      <c r="X43" s="182"/>
      <c r="Y43" s="182"/>
      <c r="Z43" s="261"/>
      <c r="AA43" s="334">
        <f>AA12*1.5</f>
        <v>0.006</v>
      </c>
      <c r="AB43" s="147">
        <f>28/31</f>
        <v>0.9032258064516129</v>
      </c>
      <c r="AC43" s="60"/>
    </row>
    <row r="44" spans="9:29" ht="15" outlineLevel="1">
      <c r="I44" s="174"/>
      <c r="J44" s="156"/>
      <c r="K44" s="51"/>
      <c r="L44" s="51"/>
      <c r="M44" s="51"/>
      <c r="N44" s="51"/>
      <c r="O44" s="51"/>
      <c r="P44" s="260"/>
      <c r="Q44" s="265"/>
      <c r="R44" s="51"/>
      <c r="S44" s="51"/>
      <c r="T44" s="51"/>
      <c r="U44" s="51"/>
      <c r="V44" s="335"/>
      <c r="W44" s="335"/>
      <c r="X44" s="335"/>
      <c r="Y44" s="335"/>
      <c r="Z44" s="335"/>
      <c r="AA44" s="336"/>
      <c r="AB44" s="146"/>
      <c r="AC44" s="52"/>
    </row>
    <row r="45" spans="8:29" ht="12.75" outlineLevel="1">
      <c r="H45" s="248" t="s">
        <v>363</v>
      </c>
      <c r="I45" s="173">
        <f>J45*J$21+K45*K$21+L45*L$21+M45*M$21+N45*N$21+O45*O$21+P45*P$21+Q45*Q$21+R45*R$21+S45*S$21+T45*T$21+U45*U$21+V45*V$21+W45*W$21+X45*X$21+Y45*Y$21+Z45*Z$21+AA45*AA$21</f>
        <v>2.539</v>
      </c>
      <c r="J45" s="267">
        <v>0.011</v>
      </c>
      <c r="K45" s="341">
        <f>DFB_Max_2008_07_07!T33/1000</f>
        <v>0.38</v>
      </c>
      <c r="L45" s="142">
        <v>0.125</v>
      </c>
      <c r="M45" s="341">
        <f>0.082</f>
        <v>0.082</v>
      </c>
      <c r="N45" s="341">
        <f>0.102</f>
        <v>0.102</v>
      </c>
      <c r="O45" s="142">
        <f>0.027</f>
        <v>0.027</v>
      </c>
      <c r="P45" s="341">
        <f>0.016</f>
        <v>0.016</v>
      </c>
      <c r="Q45" s="275"/>
      <c r="R45" s="143"/>
      <c r="S45" s="143"/>
      <c r="T45" s="57"/>
      <c r="U45" s="57"/>
      <c r="V45" s="57"/>
      <c r="W45" s="57"/>
      <c r="X45" s="57"/>
      <c r="Y45" s="57"/>
      <c r="Z45" s="57"/>
      <c r="AA45" s="155"/>
      <c r="AB45" s="148"/>
      <c r="AC45" s="58"/>
    </row>
    <row r="46" spans="8:30" ht="12.75" outlineLevel="1">
      <c r="H46" s="247" t="s">
        <v>259</v>
      </c>
      <c r="I46" s="173">
        <f>J46*J$21+K46*K$21+L46*L$21+M46*M$21+N46*N$21+O46*O$21+P46*P$21+Q46*Q$21+R46*R$21+S46*S$21+T46*T$21/2+U46*U$21/2+V46*V$21+W46*W$21+X46*X$21+Y46*Y$21+Z46*Z$21+AA46*AA$21</f>
        <v>3.1637500000000003</v>
      </c>
      <c r="J46" s="250"/>
      <c r="K46" s="251"/>
      <c r="L46" s="57"/>
      <c r="M46" s="144"/>
      <c r="N46" s="144"/>
      <c r="O46" s="182"/>
      <c r="P46" s="261"/>
      <c r="Q46" s="267">
        <f>Q15*1.5</f>
        <v>0.0045000000000000005</v>
      </c>
      <c r="R46" s="261">
        <v>0.063</v>
      </c>
      <c r="S46" s="182">
        <v>0.061</v>
      </c>
      <c r="T46" s="333">
        <v>0.00557</v>
      </c>
      <c r="U46" s="333">
        <v>0.00557</v>
      </c>
      <c r="V46" s="182">
        <f aca="true" t="shared" si="13" ref="V46:AA46">0.0036</f>
        <v>0.0036</v>
      </c>
      <c r="W46" s="182">
        <f t="shared" si="13"/>
        <v>0.0036</v>
      </c>
      <c r="X46" s="182">
        <f t="shared" si="13"/>
        <v>0.0036</v>
      </c>
      <c r="Y46" s="182">
        <f t="shared" si="13"/>
        <v>0.0036</v>
      </c>
      <c r="Z46" s="182">
        <f t="shared" si="13"/>
        <v>0.0036</v>
      </c>
      <c r="AA46" s="182">
        <f t="shared" si="13"/>
        <v>0.0036</v>
      </c>
      <c r="AB46" s="148"/>
      <c r="AC46" s="58"/>
      <c r="AD46" t="s">
        <v>351</v>
      </c>
    </row>
    <row r="47" spans="8:31" ht="12.75" outlineLevel="1">
      <c r="H47" s="316" t="s">
        <v>349</v>
      </c>
      <c r="I47" s="173">
        <f>J47*J$21+K47*K$21+L47*L$21+M47*M$21+N47*N$21+O47*O$21+P47*P$21+Q47*Q$21+R47*R$21+S47*S$21+T47*T$21+U47*U$21+V47*V$21+W47*W$21+X47*X$21+Y47*Y$21+Z47*Z$21+AA47*AA$21</f>
        <v>0.73125</v>
      </c>
      <c r="J47" s="159"/>
      <c r="K47" s="57"/>
      <c r="L47" s="144"/>
      <c r="M47" s="253">
        <f>M16*1.5</f>
        <v>0.00375</v>
      </c>
      <c r="N47" s="253">
        <f>N16*1.5</f>
        <v>0.0075</v>
      </c>
      <c r="O47" s="251">
        <f>O16*1.5</f>
        <v>0.037500000000000006</v>
      </c>
      <c r="P47" s="253">
        <f>P16*1.5</f>
        <v>0.03</v>
      </c>
      <c r="Q47" s="250"/>
      <c r="R47" s="143"/>
      <c r="S47" s="143"/>
      <c r="T47" s="57"/>
      <c r="U47" s="57"/>
      <c r="V47" s="57"/>
      <c r="W47" s="57"/>
      <c r="X47" s="57"/>
      <c r="Y47" s="57"/>
      <c r="Z47" s="57"/>
      <c r="AA47" s="155"/>
      <c r="AB47" s="148"/>
      <c r="AC47" s="58"/>
      <c r="AE47" t="s">
        <v>350</v>
      </c>
    </row>
    <row r="48" spans="9:29" ht="12.75" hidden="1" outlineLevel="1">
      <c r="I48" s="173">
        <f>J48*J$21+K48*K$21+L48*L$21+M48*M$21+N48*N$21+O48*O$21+P48*P$21+Q48*Q$21+R48*R$21+S48*S$21+T48*T$21+U48*U$21+V48*V$21+W48*W$21+X48*X$21+Y48*Y$21+Z48*Z$21+AA48*AA$21</f>
        <v>0.14400000000000002</v>
      </c>
      <c r="J48" s="159"/>
      <c r="K48" s="57"/>
      <c r="L48" s="143">
        <f>DCB_2008_08_18!G10/1000</f>
        <v>0.04</v>
      </c>
      <c r="M48" s="144"/>
      <c r="N48" s="144"/>
      <c r="O48" s="57"/>
      <c r="P48" s="144"/>
      <c r="Q48" s="266"/>
      <c r="R48" s="57"/>
      <c r="S48" s="57"/>
      <c r="T48" s="57"/>
      <c r="U48" s="57"/>
      <c r="V48" s="57"/>
      <c r="W48" s="57"/>
      <c r="X48" s="57"/>
      <c r="Y48" s="57"/>
      <c r="Z48" s="57"/>
      <c r="AA48" s="155"/>
      <c r="AB48" s="148"/>
      <c r="AC48" s="58"/>
    </row>
    <row r="49" spans="8:29" ht="12.75" outlineLevel="1">
      <c r="H49" s="248" t="s">
        <v>362</v>
      </c>
      <c r="I49" s="173">
        <f>J49*J$21+K49*K$21+L49*L$21+M49*M$21+N49*N$21+O49*O$21+P49*P$21+Q49*Q$21+R49*R$21+S49*S$21+T49*T$21+U49*U$21+V49*V$21+W49*W$21+X49*X$21+Y49*Y$21+Z49*Z$21+AA49*AA$21</f>
        <v>2.490568410181819</v>
      </c>
      <c r="J49" s="337">
        <f>J18*1.5</f>
        <v>0.0066</v>
      </c>
      <c r="K49" s="182">
        <f>DCB_2008_08_18!G24/1000</f>
        <v>0.3732</v>
      </c>
      <c r="L49" s="182">
        <f>DCB_2008_08_18!G23/1000</f>
        <v>0.3911967806060606</v>
      </c>
      <c r="M49" s="261">
        <f>M18</f>
        <v>0.0165</v>
      </c>
      <c r="N49" s="338">
        <f>N18</f>
        <v>0.011000000000000001</v>
      </c>
      <c r="O49" s="339">
        <f>0.012</f>
        <v>0.012</v>
      </c>
      <c r="P49" s="338">
        <f>0.012</f>
        <v>0.012</v>
      </c>
      <c r="Q49" s="250"/>
      <c r="R49" s="57"/>
      <c r="S49" s="57"/>
      <c r="T49" s="57"/>
      <c r="U49" s="57"/>
      <c r="V49" s="57"/>
      <c r="W49" s="57"/>
      <c r="X49" s="57"/>
      <c r="Y49" s="57"/>
      <c r="Z49" s="57"/>
      <c r="AA49" s="155"/>
      <c r="AB49" s="148"/>
      <c r="AC49" s="58"/>
    </row>
    <row r="50" spans="8:29" ht="12.75" outlineLevel="1">
      <c r="H50" s="332" t="s">
        <v>354</v>
      </c>
      <c r="I50" s="173">
        <f>J50*J$21+K50*K$21+L50*L$21+M50*M$21+N50*N$21+O50*O$21+P50*P$21+Q50*Q$21+R50*R$21+S50*S$21+T50*T$21/2+U50*U$21/2+V50*V$21+W50*W$21+X50*X$21+Y50*Y$21+Z50*Z$21+AA50*AA$21</f>
        <v>7.180890413877895</v>
      </c>
      <c r="J50" s="340">
        <f aca="true" t="shared" si="14" ref="J50:S50">SUM(J37:J49)*$L$24</f>
        <v>0.011616</v>
      </c>
      <c r="K50" s="272">
        <f t="shared" si="14"/>
        <v>0.497112</v>
      </c>
      <c r="L50" s="142">
        <f t="shared" si="14"/>
        <v>0.3670898752</v>
      </c>
      <c r="M50" s="142">
        <f t="shared" si="14"/>
        <v>0.067485</v>
      </c>
      <c r="N50" s="142">
        <f t="shared" si="14"/>
        <v>0.07952999999999999</v>
      </c>
      <c r="O50" s="142">
        <f t="shared" si="14"/>
        <v>0.05049</v>
      </c>
      <c r="P50" s="341">
        <f t="shared" si="14"/>
        <v>0.03828</v>
      </c>
      <c r="Q50" s="271">
        <f t="shared" si="14"/>
        <v>0.0029700000000000004</v>
      </c>
      <c r="R50" s="207">
        <f t="shared" si="14"/>
        <v>0.04158</v>
      </c>
      <c r="S50" s="207">
        <f t="shared" si="14"/>
        <v>0.040260000000000004</v>
      </c>
      <c r="T50" s="327">
        <f>(SUM(T38:T49)*$W$24+$Z$25/T52+T19)/2</f>
        <v>0.006174473684210527</v>
      </c>
      <c r="U50" s="327">
        <f>(SUM(U38:U49)*$W$24+$Z$25/U52+U19)/2</f>
        <v>0.005469795321637428</v>
      </c>
      <c r="V50" s="207">
        <f aca="true" t="shared" si="15" ref="V50:AA50">SUM(V37:V49)*$L$24</f>
        <v>0.0063360000000000005</v>
      </c>
      <c r="W50" s="207">
        <f t="shared" si="15"/>
        <v>0.0063360000000000005</v>
      </c>
      <c r="X50" s="207">
        <f t="shared" si="15"/>
        <v>0.0063360000000000005</v>
      </c>
      <c r="Y50" s="207">
        <f t="shared" si="15"/>
        <v>0.0063360000000000005</v>
      </c>
      <c r="Z50" s="207">
        <f t="shared" si="15"/>
        <v>0.0063360000000000005</v>
      </c>
      <c r="AA50" s="274">
        <f t="shared" si="15"/>
        <v>0.0063360000000000005</v>
      </c>
      <c r="AB50" s="149"/>
      <c r="AC50" s="87"/>
    </row>
    <row r="51" spans="9:29" ht="12.75" outlineLevel="1">
      <c r="I51" s="175"/>
      <c r="J51" s="162"/>
      <c r="K51" s="89"/>
      <c r="L51" s="89"/>
      <c r="M51" s="89"/>
      <c r="N51" s="89"/>
      <c r="O51" s="89"/>
      <c r="P51" s="89"/>
      <c r="Q51" s="162"/>
      <c r="R51" s="257"/>
      <c r="S51" s="89"/>
      <c r="T51" s="89"/>
      <c r="U51" s="89"/>
      <c r="V51" s="89"/>
      <c r="W51" s="89"/>
      <c r="X51" s="89"/>
      <c r="Y51" s="89"/>
      <c r="Z51" s="89"/>
      <c r="AA51" s="163"/>
      <c r="AB51" s="90"/>
      <c r="AC51" s="90"/>
    </row>
    <row r="52" spans="9:30" ht="15">
      <c r="I52" s="176">
        <f>SUM(I37:I43)+SUM(I45:I50)</f>
        <v>17.329458824059714</v>
      </c>
      <c r="J52" s="164">
        <f aca="true" t="shared" si="16" ref="J52:AA52">J21</f>
        <v>5</v>
      </c>
      <c r="K52" s="97">
        <f t="shared" si="16"/>
        <v>1.8</v>
      </c>
      <c r="L52" s="97">
        <f t="shared" si="16"/>
        <v>3.6</v>
      </c>
      <c r="M52" s="97">
        <f t="shared" si="16"/>
        <v>5</v>
      </c>
      <c r="N52" s="97">
        <f t="shared" si="16"/>
        <v>5</v>
      </c>
      <c r="O52" s="97">
        <f t="shared" si="16"/>
        <v>10</v>
      </c>
      <c r="P52" s="262">
        <f t="shared" si="16"/>
        <v>10</v>
      </c>
      <c r="Q52" s="164">
        <f t="shared" si="16"/>
        <v>5</v>
      </c>
      <c r="R52" s="97">
        <f t="shared" si="16"/>
        <v>10</v>
      </c>
      <c r="S52" s="97">
        <f t="shared" si="16"/>
        <v>10</v>
      </c>
      <c r="T52" s="97">
        <f t="shared" si="16"/>
        <v>225</v>
      </c>
      <c r="U52" s="97">
        <f t="shared" si="16"/>
        <v>225</v>
      </c>
      <c r="V52" s="97">
        <f t="shared" si="16"/>
        <v>30</v>
      </c>
      <c r="W52" s="97">
        <f t="shared" si="16"/>
        <v>30</v>
      </c>
      <c r="X52" s="97">
        <f t="shared" si="16"/>
        <v>30</v>
      </c>
      <c r="Y52" s="97">
        <f t="shared" si="16"/>
        <v>30</v>
      </c>
      <c r="Z52" s="97">
        <f t="shared" si="16"/>
        <v>30</v>
      </c>
      <c r="AA52" s="165">
        <f t="shared" si="16"/>
        <v>30</v>
      </c>
      <c r="AB52" s="150" t="s">
        <v>80</v>
      </c>
      <c r="AC52" s="99"/>
      <c r="AD52" t="s">
        <v>352</v>
      </c>
    </row>
    <row r="53" spans="9:29" ht="15">
      <c r="I53" s="177" t="s">
        <v>252</v>
      </c>
      <c r="J53" s="166">
        <f aca="true" t="shared" si="17" ref="J53:AA53">SUM(J37:J43)+SUM(J45:J49)</f>
        <v>0.017599999999999998</v>
      </c>
      <c r="K53" s="104">
        <f t="shared" si="17"/>
        <v>0.7532</v>
      </c>
      <c r="L53" s="104">
        <f t="shared" si="17"/>
        <v>0.5561967806060606</v>
      </c>
      <c r="M53" s="104">
        <f t="shared" si="17"/>
        <v>0.10225000000000001</v>
      </c>
      <c r="N53" s="104">
        <f t="shared" si="17"/>
        <v>0.12049999999999998</v>
      </c>
      <c r="O53" s="104">
        <f t="shared" si="17"/>
        <v>0.0765</v>
      </c>
      <c r="P53" s="116">
        <f t="shared" si="17"/>
        <v>0.057999999999999996</v>
      </c>
      <c r="Q53" s="166">
        <f t="shared" si="17"/>
        <v>0.0045000000000000005</v>
      </c>
      <c r="R53" s="258">
        <f t="shared" si="17"/>
        <v>0.063</v>
      </c>
      <c r="S53" s="104">
        <f t="shared" si="17"/>
        <v>0.061</v>
      </c>
      <c r="T53" s="328">
        <f t="shared" si="17"/>
        <v>0.00557</v>
      </c>
      <c r="U53" s="328">
        <f t="shared" si="17"/>
        <v>0.00557</v>
      </c>
      <c r="V53" s="104">
        <f t="shared" si="17"/>
        <v>0.009600000000000001</v>
      </c>
      <c r="W53" s="104">
        <f t="shared" si="17"/>
        <v>0.009600000000000001</v>
      </c>
      <c r="X53" s="104">
        <f t="shared" si="17"/>
        <v>0.009600000000000001</v>
      </c>
      <c r="Y53" s="104">
        <f t="shared" si="17"/>
        <v>0.009600000000000001</v>
      </c>
      <c r="Z53" s="104">
        <f t="shared" si="17"/>
        <v>0.009600000000000001</v>
      </c>
      <c r="AA53" s="167">
        <f t="shared" si="17"/>
        <v>0.009600000000000001</v>
      </c>
      <c r="AB53" s="150" t="s">
        <v>81</v>
      </c>
      <c r="AC53" s="99"/>
    </row>
    <row r="54" spans="9:29" ht="15.75" thickBot="1">
      <c r="I54" s="178"/>
      <c r="J54" s="168">
        <f aca="true" t="shared" si="18" ref="J54:AA54">J52*J53</f>
        <v>0.088</v>
      </c>
      <c r="K54" s="181">
        <f t="shared" si="18"/>
        <v>1.35576</v>
      </c>
      <c r="L54" s="169">
        <f t="shared" si="18"/>
        <v>2.002308410181818</v>
      </c>
      <c r="M54" s="169">
        <f t="shared" si="18"/>
        <v>0.51125</v>
      </c>
      <c r="N54" s="169">
        <f t="shared" si="18"/>
        <v>0.6024999999999999</v>
      </c>
      <c r="O54" s="169">
        <f t="shared" si="18"/>
        <v>0.765</v>
      </c>
      <c r="P54" s="263">
        <f t="shared" si="18"/>
        <v>0.58</v>
      </c>
      <c r="Q54" s="168">
        <f t="shared" si="18"/>
        <v>0.022500000000000003</v>
      </c>
      <c r="R54" s="169">
        <f t="shared" si="18"/>
        <v>0.63</v>
      </c>
      <c r="S54" s="169">
        <f t="shared" si="18"/>
        <v>0.61</v>
      </c>
      <c r="T54" s="169">
        <f t="shared" si="18"/>
        <v>1.25325</v>
      </c>
      <c r="U54" s="169">
        <f t="shared" si="18"/>
        <v>1.25325</v>
      </c>
      <c r="V54" s="169">
        <f t="shared" si="18"/>
        <v>0.28800000000000003</v>
      </c>
      <c r="W54" s="169">
        <f t="shared" si="18"/>
        <v>0.28800000000000003</v>
      </c>
      <c r="X54" s="169">
        <f t="shared" si="18"/>
        <v>0.28800000000000003</v>
      </c>
      <c r="Y54" s="169">
        <f t="shared" si="18"/>
        <v>0.28800000000000003</v>
      </c>
      <c r="Z54" s="169">
        <f t="shared" si="18"/>
        <v>0.28800000000000003</v>
      </c>
      <c r="AA54" s="170">
        <f t="shared" si="18"/>
        <v>0.28800000000000003</v>
      </c>
      <c r="AB54" s="151" t="s">
        <v>4</v>
      </c>
      <c r="AC54" s="110"/>
    </row>
    <row r="56" ht="12.75">
      <c r="L56" s="139"/>
    </row>
  </sheetData>
  <mergeCells count="16">
    <mergeCell ref="Q6:AA6"/>
    <mergeCell ref="Q37:AA37"/>
    <mergeCell ref="I34:I35"/>
    <mergeCell ref="J34:AC35"/>
    <mergeCell ref="J37:P37"/>
    <mergeCell ref="J6:P6"/>
    <mergeCell ref="A3:A5"/>
    <mergeCell ref="E3:G4"/>
    <mergeCell ref="B3:D4"/>
    <mergeCell ref="J3:AC4"/>
    <mergeCell ref="I3:I4"/>
    <mergeCell ref="D30:H30"/>
    <mergeCell ref="D26:H26"/>
    <mergeCell ref="D27:H27"/>
    <mergeCell ref="D28:H28"/>
    <mergeCell ref="D29:H29"/>
  </mergeCells>
  <printOptions/>
  <pageMargins left="0.25" right="0.25" top="0.25" bottom="0.25" header="0.5" footer="0.5"/>
  <pageSetup fitToHeight="1" fitToWidth="1" horizontalDpi="600" verticalDpi="600" orientation="landscape" paperSize="17" scale="90" r:id="rId3"/>
  <headerFooter alignWithMargins="0">
    <oddFooter>&amp;L&amp;D &amp;T&amp;R&amp;F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UCBSSL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Curtis</dc:creator>
  <cp:keywords/>
  <dc:description/>
  <cp:lastModifiedBy>Michael Ludlam</cp:lastModifiedBy>
  <cp:lastPrinted>2007-06-27T17:53:23Z</cp:lastPrinted>
  <dcterms:created xsi:type="dcterms:W3CDTF">2006-08-28T23:55:56Z</dcterms:created>
  <dcterms:modified xsi:type="dcterms:W3CDTF">2011-08-08T05:31:12Z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